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5C617DEE-A187-46B5-BBAA-FFB960974887}" xr6:coauthVersionLast="47" xr6:coauthVersionMax="47" xr10:uidLastSave="{00000000-0000-0000-0000-000000000000}"/>
  <bookViews>
    <workbookView xWindow="-103" yWindow="-103" windowWidth="22149" windowHeight="11949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2" l="1"/>
  <c r="J4" i="22"/>
  <c r="J5" i="22"/>
  <c r="I3" i="22"/>
  <c r="I4" i="22"/>
  <c r="I5" i="22"/>
  <c r="H3" i="22"/>
  <c r="H4" i="22"/>
  <c r="H5" i="22"/>
  <c r="C18" i="22"/>
  <c r="C19" i="22"/>
  <c r="C20" i="22"/>
  <c r="B18" i="22"/>
  <c r="B19" i="22"/>
  <c r="B20" i="22"/>
  <c r="C13" i="22"/>
  <c r="C14" i="22"/>
  <c r="C15" i="22"/>
  <c r="B13" i="22"/>
  <c r="B14" i="22"/>
  <c r="B15" i="22"/>
  <c r="C8" i="22"/>
  <c r="C9" i="22"/>
  <c r="C10" i="22"/>
  <c r="B8" i="22"/>
  <c r="B9" i="22"/>
  <c r="B10" i="22"/>
  <c r="C3" i="22"/>
  <c r="C4" i="22"/>
  <c r="C5" i="22"/>
  <c r="B3" i="22"/>
  <c r="B4" i="22"/>
  <c r="B5" i="22"/>
  <c r="U108" i="22"/>
  <c r="U109" i="22"/>
  <c r="U110" i="22"/>
  <c r="T108" i="22"/>
  <c r="T109" i="22"/>
  <c r="T110" i="22"/>
  <c r="S108" i="22"/>
  <c r="S109" i="22"/>
  <c r="S110" i="22"/>
  <c r="N123" i="22"/>
  <c r="N124" i="22"/>
  <c r="P124" i="22" s="1"/>
  <c r="N125" i="22"/>
  <c r="M123" i="22"/>
  <c r="P123" i="22" s="1"/>
  <c r="M124" i="22"/>
  <c r="M125" i="22"/>
  <c r="N118" i="22"/>
  <c r="N119" i="22"/>
  <c r="N120" i="22"/>
  <c r="M118" i="22"/>
  <c r="P118" i="22" s="1"/>
  <c r="M119" i="22"/>
  <c r="M120" i="22"/>
  <c r="P120" i="22" s="1"/>
  <c r="N113" i="22"/>
  <c r="N114" i="22"/>
  <c r="N115" i="22"/>
  <c r="M113" i="22"/>
  <c r="P113" i="22" s="1"/>
  <c r="M114" i="22"/>
  <c r="M115" i="22"/>
  <c r="N108" i="22"/>
  <c r="N109" i="22"/>
  <c r="N110" i="22"/>
  <c r="M108" i="22"/>
  <c r="M109" i="22"/>
  <c r="M110" i="22"/>
  <c r="O110" i="22" s="1"/>
  <c r="P125" i="22"/>
  <c r="P119" i="22"/>
  <c r="P114" i="22"/>
  <c r="P110" i="22"/>
  <c r="I3" i="21"/>
  <c r="I4" i="21"/>
  <c r="I5" i="21"/>
  <c r="H3" i="21"/>
  <c r="H4" i="21"/>
  <c r="H5" i="21"/>
  <c r="C18" i="21"/>
  <c r="C19" i="21"/>
  <c r="C20" i="21"/>
  <c r="B18" i="21"/>
  <c r="B19" i="21"/>
  <c r="B20" i="21"/>
  <c r="C13" i="21"/>
  <c r="C14" i="21"/>
  <c r="C15" i="21"/>
  <c r="B13" i="21"/>
  <c r="B14" i="21"/>
  <c r="B15" i="21"/>
  <c r="C8" i="21"/>
  <c r="C9" i="21"/>
  <c r="C10" i="21"/>
  <c r="B8" i="21"/>
  <c r="B9" i="21"/>
  <c r="B10" i="21"/>
  <c r="C3" i="21"/>
  <c r="C4" i="21"/>
  <c r="C5" i="21"/>
  <c r="B3" i="21"/>
  <c r="B4" i="21"/>
  <c r="B5" i="21"/>
  <c r="S108" i="21"/>
  <c r="S109" i="21"/>
  <c r="S110" i="21"/>
  <c r="R108" i="21"/>
  <c r="R109" i="21"/>
  <c r="R110" i="21"/>
  <c r="M123" i="21"/>
  <c r="M124" i="21"/>
  <c r="M125" i="21"/>
  <c r="L123" i="21"/>
  <c r="O123" i="21" s="1"/>
  <c r="L124" i="21"/>
  <c r="L125" i="21"/>
  <c r="O125" i="21" s="1"/>
  <c r="M118" i="21"/>
  <c r="M119" i="21"/>
  <c r="M120" i="21"/>
  <c r="L118" i="21"/>
  <c r="L119" i="21"/>
  <c r="L120" i="21"/>
  <c r="O120" i="21" s="1"/>
  <c r="M113" i="21"/>
  <c r="M114" i="21"/>
  <c r="M115" i="21"/>
  <c r="L113" i="21"/>
  <c r="L114" i="21"/>
  <c r="L115" i="21"/>
  <c r="O115" i="21" s="1"/>
  <c r="M108" i="21"/>
  <c r="M109" i="21"/>
  <c r="M110" i="21"/>
  <c r="O110" i="21" s="1"/>
  <c r="L108" i="21"/>
  <c r="O108" i="21" s="1"/>
  <c r="L109" i="21"/>
  <c r="L110" i="21"/>
  <c r="O124" i="21"/>
  <c r="O119" i="21"/>
  <c r="O114" i="21"/>
  <c r="S108" i="20"/>
  <c r="I3" i="20" s="1"/>
  <c r="S109" i="20"/>
  <c r="I4" i="20" s="1"/>
  <c r="S110" i="20"/>
  <c r="I5" i="20" s="1"/>
  <c r="R108" i="20"/>
  <c r="H3" i="20" s="1"/>
  <c r="R109" i="20"/>
  <c r="H4" i="20" s="1"/>
  <c r="R110" i="20"/>
  <c r="H5" i="20" s="1"/>
  <c r="M123" i="20"/>
  <c r="C18" i="20" s="1"/>
  <c r="M124" i="20"/>
  <c r="C19" i="20" s="1"/>
  <c r="M125" i="20"/>
  <c r="C20" i="20" s="1"/>
  <c r="L123" i="20"/>
  <c r="O123" i="20" s="1"/>
  <c r="L124" i="20"/>
  <c r="B19" i="20" s="1"/>
  <c r="L125" i="20"/>
  <c r="O125" i="20" s="1"/>
  <c r="M118" i="20"/>
  <c r="C13" i="20" s="1"/>
  <c r="M119" i="20"/>
  <c r="C14" i="20" s="1"/>
  <c r="M120" i="20"/>
  <c r="C15" i="20" s="1"/>
  <c r="L118" i="20"/>
  <c r="B13" i="20" s="1"/>
  <c r="L119" i="20"/>
  <c r="B14" i="20" s="1"/>
  <c r="L120" i="20"/>
  <c r="O120" i="20" s="1"/>
  <c r="M113" i="20"/>
  <c r="C8" i="20" s="1"/>
  <c r="M114" i="20"/>
  <c r="C9" i="20" s="1"/>
  <c r="M115" i="20"/>
  <c r="C10" i="20" s="1"/>
  <c r="L113" i="20"/>
  <c r="O113" i="20" s="1"/>
  <c r="L114" i="20"/>
  <c r="B9" i="20" s="1"/>
  <c r="L115" i="20"/>
  <c r="B10" i="20" s="1"/>
  <c r="M108" i="20"/>
  <c r="C3" i="20" s="1"/>
  <c r="M109" i="20"/>
  <c r="C4" i="20" s="1"/>
  <c r="M110" i="20"/>
  <c r="C5" i="20" s="1"/>
  <c r="L108" i="20"/>
  <c r="O108" i="20" s="1"/>
  <c r="L109" i="20"/>
  <c r="B4" i="20" s="1"/>
  <c r="L110" i="20"/>
  <c r="B5" i="20" s="1"/>
  <c r="N110" i="20"/>
  <c r="B9" i="19"/>
  <c r="B10" i="19"/>
  <c r="S108" i="19"/>
  <c r="I3" i="19" s="1"/>
  <c r="S109" i="19"/>
  <c r="I4" i="19" s="1"/>
  <c r="S110" i="19"/>
  <c r="I5" i="19" s="1"/>
  <c r="R108" i="19"/>
  <c r="H3" i="19" s="1"/>
  <c r="R109" i="19"/>
  <c r="H4" i="19" s="1"/>
  <c r="R110" i="19"/>
  <c r="H5" i="19" s="1"/>
  <c r="M123" i="19"/>
  <c r="C18" i="19" s="1"/>
  <c r="M124" i="19"/>
  <c r="C19" i="19" s="1"/>
  <c r="M125" i="19"/>
  <c r="C20" i="19" s="1"/>
  <c r="L123" i="19"/>
  <c r="B18" i="19" s="1"/>
  <c r="L124" i="19"/>
  <c r="O124" i="19" s="1"/>
  <c r="L125" i="19"/>
  <c r="O125" i="19" s="1"/>
  <c r="M118" i="19"/>
  <c r="C13" i="19" s="1"/>
  <c r="M119" i="19"/>
  <c r="C14" i="19" s="1"/>
  <c r="M120" i="19"/>
  <c r="C15" i="19" s="1"/>
  <c r="L118" i="19"/>
  <c r="O118" i="19" s="1"/>
  <c r="L119" i="19"/>
  <c r="B14" i="19" s="1"/>
  <c r="L120" i="19"/>
  <c r="M113" i="19"/>
  <c r="C8" i="19" s="1"/>
  <c r="M114" i="19"/>
  <c r="C9" i="19" s="1"/>
  <c r="M115" i="19"/>
  <c r="C10" i="19" s="1"/>
  <c r="L113" i="19"/>
  <c r="B8" i="19" s="1"/>
  <c r="L114" i="19"/>
  <c r="L115" i="19"/>
  <c r="O115" i="19" s="1"/>
  <c r="M108" i="19"/>
  <c r="C3" i="19" s="1"/>
  <c r="M109" i="19"/>
  <c r="C4" i="19" s="1"/>
  <c r="M110" i="19"/>
  <c r="C5" i="19" s="1"/>
  <c r="L108" i="19"/>
  <c r="N108" i="19" s="1"/>
  <c r="L109" i="19"/>
  <c r="B4" i="19" s="1"/>
  <c r="L110" i="19"/>
  <c r="B5" i="19" s="1"/>
  <c r="O114" i="19"/>
  <c r="C19" i="17"/>
  <c r="B15" i="17"/>
  <c r="B10" i="17"/>
  <c r="S108" i="17"/>
  <c r="I3" i="17" s="1"/>
  <c r="S109" i="17"/>
  <c r="I4" i="17" s="1"/>
  <c r="S110" i="17"/>
  <c r="I5" i="17" s="1"/>
  <c r="R108" i="17"/>
  <c r="H3" i="17" s="1"/>
  <c r="R109" i="17"/>
  <c r="H4" i="17" s="1"/>
  <c r="R110" i="17"/>
  <c r="H5" i="17" s="1"/>
  <c r="M123" i="17"/>
  <c r="C18" i="17" s="1"/>
  <c r="M124" i="17"/>
  <c r="M125" i="17"/>
  <c r="C20" i="17" s="1"/>
  <c r="L123" i="17"/>
  <c r="O123" i="17" s="1"/>
  <c r="L124" i="17"/>
  <c r="B19" i="17" s="1"/>
  <c r="L125" i="17"/>
  <c r="B20" i="17" s="1"/>
  <c r="M118" i="17"/>
  <c r="C13" i="17" s="1"/>
  <c r="M119" i="17"/>
  <c r="C14" i="17" s="1"/>
  <c r="M120" i="17"/>
  <c r="C15" i="17" s="1"/>
  <c r="L118" i="17"/>
  <c r="B13" i="17" s="1"/>
  <c r="L119" i="17"/>
  <c r="O119" i="17" s="1"/>
  <c r="L120" i="17"/>
  <c r="O120" i="17" s="1"/>
  <c r="M113" i="17"/>
  <c r="C8" i="17" s="1"/>
  <c r="M114" i="17"/>
  <c r="C9" i="17" s="1"/>
  <c r="M115" i="17"/>
  <c r="C10" i="17" s="1"/>
  <c r="L113" i="17"/>
  <c r="O113" i="17" s="1"/>
  <c r="L114" i="17"/>
  <c r="B9" i="17" s="1"/>
  <c r="L115" i="17"/>
  <c r="O115" i="17" s="1"/>
  <c r="M108" i="17"/>
  <c r="C3" i="17" s="1"/>
  <c r="M109" i="17"/>
  <c r="C4" i="17" s="1"/>
  <c r="M110" i="17"/>
  <c r="C5" i="17" s="1"/>
  <c r="L108" i="17"/>
  <c r="B3" i="17" s="1"/>
  <c r="L109" i="17"/>
  <c r="B4" i="17" s="1"/>
  <c r="L110" i="17"/>
  <c r="O110" i="17" s="1"/>
  <c r="I4" i="18"/>
  <c r="B13" i="18"/>
  <c r="B14" i="18"/>
  <c r="S108" i="18"/>
  <c r="I3" i="18" s="1"/>
  <c r="S109" i="18"/>
  <c r="S110" i="18"/>
  <c r="I5" i="18" s="1"/>
  <c r="R108" i="18"/>
  <c r="H3" i="18" s="1"/>
  <c r="R109" i="18"/>
  <c r="H4" i="18" s="1"/>
  <c r="R110" i="18"/>
  <c r="H5" i="18" s="1"/>
  <c r="M123" i="18"/>
  <c r="C18" i="18" s="1"/>
  <c r="M124" i="18"/>
  <c r="C19" i="18" s="1"/>
  <c r="M125" i="18"/>
  <c r="C20" i="18" s="1"/>
  <c r="L123" i="18"/>
  <c r="O123" i="18" s="1"/>
  <c r="L124" i="18"/>
  <c r="B19" i="18" s="1"/>
  <c r="L125" i="18"/>
  <c r="O125" i="18" s="1"/>
  <c r="M118" i="18"/>
  <c r="C13" i="18" s="1"/>
  <c r="M119" i="18"/>
  <c r="C14" i="18" s="1"/>
  <c r="M120" i="18"/>
  <c r="C15" i="18" s="1"/>
  <c r="L118" i="18"/>
  <c r="O118" i="18" s="1"/>
  <c r="L119" i="18"/>
  <c r="L120" i="18"/>
  <c r="O120" i="18" s="1"/>
  <c r="M113" i="18"/>
  <c r="C8" i="18" s="1"/>
  <c r="M114" i="18"/>
  <c r="C9" i="18" s="1"/>
  <c r="M115" i="18"/>
  <c r="C10" i="18" s="1"/>
  <c r="L113" i="18"/>
  <c r="B8" i="18" s="1"/>
  <c r="L114" i="18"/>
  <c r="O114" i="18" s="1"/>
  <c r="L115" i="18"/>
  <c r="B10" i="18" s="1"/>
  <c r="M108" i="18"/>
  <c r="C3" i="18" s="1"/>
  <c r="M109" i="18"/>
  <c r="C4" i="18" s="1"/>
  <c r="M110" i="18"/>
  <c r="C5" i="18" s="1"/>
  <c r="L108" i="18"/>
  <c r="B3" i="18" s="1"/>
  <c r="L109" i="18"/>
  <c r="B4" i="18" s="1"/>
  <c r="L110" i="18"/>
  <c r="B5" i="18" s="1"/>
  <c r="O119" i="18"/>
  <c r="I4" i="16"/>
  <c r="I5" i="16"/>
  <c r="B18" i="16"/>
  <c r="C5" i="16"/>
  <c r="S108" i="16"/>
  <c r="I3" i="16" s="1"/>
  <c r="S109" i="16"/>
  <c r="S110" i="16"/>
  <c r="R108" i="16"/>
  <c r="H3" i="16" s="1"/>
  <c r="R109" i="16"/>
  <c r="H4" i="16" s="1"/>
  <c r="R110" i="16"/>
  <c r="H5" i="16" s="1"/>
  <c r="M123" i="16"/>
  <c r="C18" i="16" s="1"/>
  <c r="M124" i="16"/>
  <c r="C19" i="16" s="1"/>
  <c r="M125" i="16"/>
  <c r="C20" i="16" s="1"/>
  <c r="L123" i="16"/>
  <c r="O123" i="16" s="1"/>
  <c r="L124" i="16"/>
  <c r="L125" i="16"/>
  <c r="B20" i="16" s="1"/>
  <c r="M119" i="16"/>
  <c r="C14" i="16" s="1"/>
  <c r="M120" i="16"/>
  <c r="C15" i="16" s="1"/>
  <c r="M118" i="16"/>
  <c r="C13" i="16" s="1"/>
  <c r="L118" i="16"/>
  <c r="B13" i="16" s="1"/>
  <c r="L119" i="16"/>
  <c r="B14" i="16" s="1"/>
  <c r="L120" i="16"/>
  <c r="O120" i="16" s="1"/>
  <c r="M113" i="16"/>
  <c r="C8" i="16" s="1"/>
  <c r="M114" i="16"/>
  <c r="C9" i="16" s="1"/>
  <c r="M115" i="16"/>
  <c r="C10" i="16" s="1"/>
  <c r="L113" i="16"/>
  <c r="B8" i="16" s="1"/>
  <c r="L114" i="16"/>
  <c r="B9" i="16" s="1"/>
  <c r="L115" i="16"/>
  <c r="B10" i="16" s="1"/>
  <c r="M108" i="16"/>
  <c r="C3" i="16" s="1"/>
  <c r="M109" i="16"/>
  <c r="C4" i="16" s="1"/>
  <c r="M110" i="16"/>
  <c r="L108" i="16"/>
  <c r="O108" i="16" s="1"/>
  <c r="L109" i="16"/>
  <c r="B4" i="16" s="1"/>
  <c r="L110" i="16"/>
  <c r="B5" i="16" s="1"/>
  <c r="J4" i="4"/>
  <c r="I3" i="4"/>
  <c r="U108" i="4"/>
  <c r="J3" i="4" s="1"/>
  <c r="U109" i="4"/>
  <c r="U110" i="4"/>
  <c r="J5" i="4" s="1"/>
  <c r="T108" i="4"/>
  <c r="T109" i="4"/>
  <c r="I4" i="4" s="1"/>
  <c r="T110" i="4"/>
  <c r="I5" i="4" s="1"/>
  <c r="S108" i="4"/>
  <c r="H3" i="4" s="1"/>
  <c r="S109" i="4"/>
  <c r="H4" i="4" s="1"/>
  <c r="S110" i="4"/>
  <c r="H5" i="4" s="1"/>
  <c r="N123" i="4"/>
  <c r="C18" i="4" s="1"/>
  <c r="N124" i="4"/>
  <c r="C19" i="4" s="1"/>
  <c r="N125" i="4"/>
  <c r="C20" i="4" s="1"/>
  <c r="M123" i="4"/>
  <c r="P123" i="4" s="1"/>
  <c r="M124" i="4"/>
  <c r="B19" i="4" s="1"/>
  <c r="M125" i="4"/>
  <c r="N118" i="4"/>
  <c r="C13" i="4" s="1"/>
  <c r="N119" i="4"/>
  <c r="N120" i="4"/>
  <c r="C15" i="4" s="1"/>
  <c r="M118" i="4"/>
  <c r="O118" i="4" s="1"/>
  <c r="M119" i="4"/>
  <c r="B14" i="4" s="1"/>
  <c r="M120" i="4"/>
  <c r="P120" i="4" s="1"/>
  <c r="N113" i="4"/>
  <c r="C8" i="4" s="1"/>
  <c r="N114" i="4"/>
  <c r="C9" i="4" s="1"/>
  <c r="N115" i="4"/>
  <c r="C10" i="4" s="1"/>
  <c r="M113" i="4"/>
  <c r="P113" i="4" s="1"/>
  <c r="M114" i="4"/>
  <c r="B9" i="4" s="1"/>
  <c r="M115" i="4"/>
  <c r="B10" i="4" s="1"/>
  <c r="N108" i="4"/>
  <c r="C3" i="4" s="1"/>
  <c r="N109" i="4"/>
  <c r="C4" i="4" s="1"/>
  <c r="N110" i="4"/>
  <c r="C5" i="4" s="1"/>
  <c r="M108" i="4"/>
  <c r="P108" i="4" s="1"/>
  <c r="M109" i="4"/>
  <c r="M110" i="4"/>
  <c r="B5" i="4" s="1"/>
  <c r="P124" i="4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G7" i="28" s="1"/>
  <c r="C8" i="28"/>
  <c r="G8" i="28" s="1"/>
  <c r="C9" i="28"/>
  <c r="C10" i="28"/>
  <c r="C11" i="28"/>
  <c r="C12" i="28"/>
  <c r="C13" i="28"/>
  <c r="C14" i="28"/>
  <c r="C15" i="28"/>
  <c r="G15" i="28" s="1"/>
  <c r="C16" i="28"/>
  <c r="G16" i="28" s="1"/>
  <c r="C17" i="28"/>
  <c r="C18" i="28"/>
  <c r="C19" i="28"/>
  <c r="C20" i="28"/>
  <c r="C21" i="28"/>
  <c r="C22" i="28"/>
  <c r="C23" i="28"/>
  <c r="G23" i="28" s="1"/>
  <c r="C24" i="28"/>
  <c r="G24" i="28" s="1"/>
  <c r="C25" i="28"/>
  <c r="C26" i="28"/>
  <c r="C27" i="28"/>
  <c r="C28" i="28"/>
  <c r="C29" i="28"/>
  <c r="C30" i="28"/>
  <c r="C31" i="28"/>
  <c r="G31" i="28" s="1"/>
  <c r="C32" i="28"/>
  <c r="G32" i="28" s="1"/>
  <c r="C33" i="28"/>
  <c r="C34" i="28"/>
  <c r="C35" i="28"/>
  <c r="C36" i="28"/>
  <c r="C37" i="28"/>
  <c r="C38" i="28"/>
  <c r="C39" i="28"/>
  <c r="G39" i="28" s="1"/>
  <c r="C40" i="28"/>
  <c r="G40" i="28" s="1"/>
  <c r="C41" i="28"/>
  <c r="C42" i="28"/>
  <c r="C43" i="28"/>
  <c r="C44" i="28"/>
  <c r="C45" i="28"/>
  <c r="C46" i="28"/>
  <c r="C47" i="28"/>
  <c r="G47" i="28" s="1"/>
  <c r="C48" i="28"/>
  <c r="G48" i="28" s="1"/>
  <c r="C49" i="28"/>
  <c r="C50" i="28"/>
  <c r="C51" i="28"/>
  <c r="C52" i="28"/>
  <c r="C53" i="28"/>
  <c r="C54" i="28"/>
  <c r="C55" i="28"/>
  <c r="G55" i="28" s="1"/>
  <c r="C56" i="28"/>
  <c r="G56" i="28" s="1"/>
  <c r="C57" i="28"/>
  <c r="C58" i="28"/>
  <c r="C59" i="28"/>
  <c r="C60" i="28"/>
  <c r="C61" i="28"/>
  <c r="C62" i="28"/>
  <c r="C63" i="28"/>
  <c r="G63" i="28" s="1"/>
  <c r="C64" i="28"/>
  <c r="G64" i="28" s="1"/>
  <c r="C65" i="28"/>
  <c r="C66" i="28"/>
  <c r="C67" i="28"/>
  <c r="C68" i="28"/>
  <c r="C69" i="28"/>
  <c r="C70" i="28"/>
  <c r="C71" i="28"/>
  <c r="G71" i="28" s="1"/>
  <c r="C72" i="28"/>
  <c r="G72" i="28" s="1"/>
  <c r="C73" i="28"/>
  <c r="C74" i="28"/>
  <c r="C75" i="28"/>
  <c r="C76" i="28"/>
  <c r="C77" i="28"/>
  <c r="C78" i="28"/>
  <c r="C79" i="28"/>
  <c r="G79" i="28" s="1"/>
  <c r="C80" i="28"/>
  <c r="L8" i="28" s="1"/>
  <c r="C81" i="28"/>
  <c r="C82" i="28"/>
  <c r="C83" i="28"/>
  <c r="C84" i="28"/>
  <c r="C85" i="28"/>
  <c r="C86" i="28"/>
  <c r="C87" i="28"/>
  <c r="G87" i="28" s="1"/>
  <c r="C88" i="28"/>
  <c r="G88" i="28" s="1"/>
  <c r="C89" i="28"/>
  <c r="C90" i="28"/>
  <c r="C91" i="28"/>
  <c r="C92" i="28"/>
  <c r="C93" i="28"/>
  <c r="C94" i="28"/>
  <c r="C95" i="28"/>
  <c r="G95" i="28" s="1"/>
  <c r="C96" i="28"/>
  <c r="G96" i="28" s="1"/>
  <c r="C97" i="28"/>
  <c r="C98" i="28"/>
  <c r="C99" i="28"/>
  <c r="C100" i="28"/>
  <c r="C101" i="28"/>
  <c r="C102" i="28"/>
  <c r="C103" i="28"/>
  <c r="G103" i="28" s="1"/>
  <c r="C104" i="28"/>
  <c r="G104" i="28" s="1"/>
  <c r="C105" i="28"/>
  <c r="C106" i="28"/>
  <c r="C107" i="28"/>
  <c r="C108" i="28"/>
  <c r="C109" i="28"/>
  <c r="C110" i="28"/>
  <c r="C111" i="28"/>
  <c r="G111" i="28" s="1"/>
  <c r="C112" i="28"/>
  <c r="C113" i="28"/>
  <c r="C114" i="28"/>
  <c r="C115" i="28"/>
  <c r="C116" i="28"/>
  <c r="C117" i="28"/>
  <c r="C118" i="28"/>
  <c r="C119" i="28"/>
  <c r="G119" i="28" s="1"/>
  <c r="C120" i="28"/>
  <c r="G120" i="28" s="1"/>
  <c r="C121" i="28"/>
  <c r="C122" i="28"/>
  <c r="C123" i="28"/>
  <c r="C124" i="28"/>
  <c r="C125" i="28"/>
  <c r="C126" i="28"/>
  <c r="C127" i="28"/>
  <c r="G127" i="28" s="1"/>
  <c r="C128" i="28"/>
  <c r="G128" i="28" s="1"/>
  <c r="C129" i="28"/>
  <c r="C130" i="28"/>
  <c r="C131" i="28"/>
  <c r="C132" i="28"/>
  <c r="C133" i="28"/>
  <c r="C134" i="28"/>
  <c r="C135" i="28"/>
  <c r="G135" i="28" s="1"/>
  <c r="C136" i="28"/>
  <c r="G136" i="28" s="1"/>
  <c r="C137" i="28"/>
  <c r="C138" i="28"/>
  <c r="C139" i="28"/>
  <c r="C140" i="28"/>
  <c r="C141" i="28"/>
  <c r="C142" i="28"/>
  <c r="C143" i="28"/>
  <c r="G143" i="28" s="1"/>
  <c r="C144" i="28"/>
  <c r="G144" i="28" s="1"/>
  <c r="C145" i="28"/>
  <c r="C146" i="28"/>
  <c r="C147" i="28"/>
  <c r="C148" i="28"/>
  <c r="C149" i="28"/>
  <c r="C150" i="28"/>
  <c r="C151" i="28"/>
  <c r="G151" i="28" s="1"/>
  <c r="C152" i="28"/>
  <c r="G152" i="28" s="1"/>
  <c r="C153" i="28"/>
  <c r="C154" i="28"/>
  <c r="C155" i="28"/>
  <c r="C156" i="28"/>
  <c r="C157" i="28"/>
  <c r="C158" i="28"/>
  <c r="C159" i="28"/>
  <c r="G159" i="28" s="1"/>
  <c r="C160" i="28"/>
  <c r="G160" i="28" s="1"/>
  <c r="C161" i="28"/>
  <c r="C162" i="28"/>
  <c r="C163" i="28"/>
  <c r="C164" i="28"/>
  <c r="C165" i="28"/>
  <c r="C166" i="28"/>
  <c r="C167" i="28"/>
  <c r="G167" i="28" s="1"/>
  <c r="C168" i="28"/>
  <c r="G168" i="28" s="1"/>
  <c r="C169" i="28"/>
  <c r="C170" i="28"/>
  <c r="C171" i="28"/>
  <c r="C172" i="28"/>
  <c r="C173" i="28"/>
  <c r="C174" i="28"/>
  <c r="C175" i="28"/>
  <c r="G175" i="28" s="1"/>
  <c r="C176" i="28"/>
  <c r="G176" i="28" s="1"/>
  <c r="C177" i="28"/>
  <c r="C178" i="28"/>
  <c r="C179" i="28"/>
  <c r="C180" i="28"/>
  <c r="C181" i="28"/>
  <c r="C182" i="28"/>
  <c r="C183" i="28"/>
  <c r="G183" i="28" s="1"/>
  <c r="C184" i="28"/>
  <c r="G184" i="28" s="1"/>
  <c r="C185" i="28"/>
  <c r="C186" i="28"/>
  <c r="C187" i="28"/>
  <c r="C188" i="28"/>
  <c r="C189" i="28"/>
  <c r="C190" i="28"/>
  <c r="C191" i="28"/>
  <c r="G191" i="28" s="1"/>
  <c r="C192" i="28"/>
  <c r="G192" i="28" s="1"/>
  <c r="C193" i="28"/>
  <c r="C194" i="28"/>
  <c r="C195" i="28"/>
  <c r="C196" i="28"/>
  <c r="C197" i="28"/>
  <c r="C198" i="28"/>
  <c r="C199" i="28"/>
  <c r="G199" i="28" s="1"/>
  <c r="C200" i="28"/>
  <c r="G200" i="28" s="1"/>
  <c r="C201" i="28"/>
  <c r="C202" i="28"/>
  <c r="C203" i="28"/>
  <c r="C204" i="28"/>
  <c r="C205" i="28"/>
  <c r="C206" i="28"/>
  <c r="C207" i="28"/>
  <c r="C208" i="28"/>
  <c r="G208" i="28" s="1"/>
  <c r="C209" i="28"/>
  <c r="C210" i="28"/>
  <c r="C211" i="28"/>
  <c r="C212" i="28"/>
  <c r="C3" i="28"/>
  <c r="F4" i="28"/>
  <c r="G4" i="28" s="1"/>
  <c r="F5" i="28"/>
  <c r="G5" i="28" s="1"/>
  <c r="F6" i="28"/>
  <c r="F7" i="28"/>
  <c r="F8" i="28"/>
  <c r="F9" i="28"/>
  <c r="F10" i="28"/>
  <c r="G10" i="28" s="1"/>
  <c r="F11" i="28"/>
  <c r="F12" i="28"/>
  <c r="G12" i="28" s="1"/>
  <c r="F13" i="28"/>
  <c r="G13" i="28" s="1"/>
  <c r="F14" i="28"/>
  <c r="F15" i="28"/>
  <c r="F16" i="28"/>
  <c r="F17" i="28"/>
  <c r="F18" i="28"/>
  <c r="F19" i="28"/>
  <c r="F20" i="28"/>
  <c r="G20" i="28" s="1"/>
  <c r="F21" i="28"/>
  <c r="G21" i="28" s="1"/>
  <c r="F22" i="28"/>
  <c r="F23" i="28"/>
  <c r="F24" i="28"/>
  <c r="F25" i="28"/>
  <c r="F26" i="28"/>
  <c r="F27" i="28"/>
  <c r="F28" i="28"/>
  <c r="G28" i="28" s="1"/>
  <c r="F29" i="28"/>
  <c r="F30" i="28"/>
  <c r="G30" i="28" s="1"/>
  <c r="F31" i="28"/>
  <c r="F32" i="28"/>
  <c r="F33" i="28"/>
  <c r="G33" i="28" s="1"/>
  <c r="F34" i="28"/>
  <c r="F35" i="28"/>
  <c r="F36" i="28"/>
  <c r="G36" i="28" s="1"/>
  <c r="F37" i="28"/>
  <c r="G37" i="28" s="1"/>
  <c r="F38" i="28"/>
  <c r="G38" i="28" s="1"/>
  <c r="F39" i="28"/>
  <c r="F40" i="28"/>
  <c r="F41" i="28"/>
  <c r="G41" i="28" s="1"/>
  <c r="F42" i="28"/>
  <c r="G42" i="28" s="1"/>
  <c r="F43" i="28"/>
  <c r="F44" i="28"/>
  <c r="G44" i="28" s="1"/>
  <c r="F45" i="28"/>
  <c r="G45" i="28" s="1"/>
  <c r="F46" i="28"/>
  <c r="F47" i="28"/>
  <c r="F48" i="28"/>
  <c r="F49" i="28"/>
  <c r="F50" i="28"/>
  <c r="F51" i="28"/>
  <c r="F52" i="28"/>
  <c r="G52" i="28" s="1"/>
  <c r="F53" i="28"/>
  <c r="G53" i="28" s="1"/>
  <c r="F54" i="28"/>
  <c r="F55" i="28"/>
  <c r="F56" i="28"/>
  <c r="F57" i="28"/>
  <c r="F58" i="28"/>
  <c r="F59" i="28"/>
  <c r="F60" i="28"/>
  <c r="G60" i="28" s="1"/>
  <c r="F61" i="28"/>
  <c r="F62" i="28"/>
  <c r="G62" i="28" s="1"/>
  <c r="F63" i="28"/>
  <c r="F64" i="28"/>
  <c r="F65" i="28"/>
  <c r="F66" i="28"/>
  <c r="F67" i="28"/>
  <c r="F68" i="28"/>
  <c r="G68" i="28" s="1"/>
  <c r="F69" i="28"/>
  <c r="G69" i="28" s="1"/>
  <c r="F70" i="28"/>
  <c r="F71" i="28"/>
  <c r="F72" i="28"/>
  <c r="F73" i="28"/>
  <c r="F74" i="28"/>
  <c r="F75" i="28"/>
  <c r="F76" i="28"/>
  <c r="G76" i="28" s="1"/>
  <c r="F77" i="28"/>
  <c r="G77" i="28" s="1"/>
  <c r="F78" i="28"/>
  <c r="F79" i="28"/>
  <c r="F80" i="28"/>
  <c r="F81" i="28"/>
  <c r="F82" i="28"/>
  <c r="F83" i="28"/>
  <c r="F84" i="28"/>
  <c r="G84" i="28" s="1"/>
  <c r="F85" i="28"/>
  <c r="G85" i="28" s="1"/>
  <c r="F86" i="28"/>
  <c r="F87" i="28"/>
  <c r="F88" i="28"/>
  <c r="F89" i="28"/>
  <c r="F90" i="28"/>
  <c r="F91" i="28"/>
  <c r="F92" i="28"/>
  <c r="G92" i="28" s="1"/>
  <c r="F93" i="28"/>
  <c r="G93" i="28" s="1"/>
  <c r="F94" i="28"/>
  <c r="F95" i="28"/>
  <c r="F96" i="28"/>
  <c r="F97" i="28"/>
  <c r="F98" i="28"/>
  <c r="F99" i="28"/>
  <c r="F100" i="28"/>
  <c r="G100" i="28" s="1"/>
  <c r="F101" i="28"/>
  <c r="G101" i="28" s="1"/>
  <c r="F102" i="28"/>
  <c r="F103" i="28"/>
  <c r="F104" i="28"/>
  <c r="F105" i="28"/>
  <c r="F106" i="28"/>
  <c r="G106" i="28" s="1"/>
  <c r="F107" i="28"/>
  <c r="F108" i="28"/>
  <c r="G108" i="28" s="1"/>
  <c r="F109" i="28"/>
  <c r="G109" i="28" s="1"/>
  <c r="F110" i="28"/>
  <c r="F111" i="28"/>
  <c r="F112" i="28"/>
  <c r="F113" i="28"/>
  <c r="F114" i="28"/>
  <c r="G114" i="28" s="1"/>
  <c r="F115" i="28"/>
  <c r="F116" i="28"/>
  <c r="F117" i="28"/>
  <c r="G117" i="28" s="1"/>
  <c r="F118" i="28"/>
  <c r="F119" i="28"/>
  <c r="F120" i="28"/>
  <c r="F121" i="28"/>
  <c r="F122" i="28"/>
  <c r="F123" i="28"/>
  <c r="F124" i="28"/>
  <c r="F125" i="28"/>
  <c r="G125" i="28" s="1"/>
  <c r="F126" i="28"/>
  <c r="G126" i="28" s="1"/>
  <c r="F127" i="28"/>
  <c r="F128" i="28"/>
  <c r="F129" i="28"/>
  <c r="F130" i="28"/>
  <c r="G130" i="28" s="1"/>
  <c r="F131" i="28"/>
  <c r="F132" i="28"/>
  <c r="G132" i="28" s="1"/>
  <c r="F133" i="28"/>
  <c r="G133" i="28" s="1"/>
  <c r="F134" i="28"/>
  <c r="F135" i="28"/>
  <c r="F136" i="28"/>
  <c r="F137" i="28"/>
  <c r="F138" i="28"/>
  <c r="F139" i="28"/>
  <c r="F140" i="28"/>
  <c r="G140" i="28" s="1"/>
  <c r="F141" i="28"/>
  <c r="G141" i="28" s="1"/>
  <c r="F142" i="28"/>
  <c r="F143" i="28"/>
  <c r="F144" i="28"/>
  <c r="F145" i="28"/>
  <c r="F146" i="28"/>
  <c r="F147" i="28"/>
  <c r="F148" i="28"/>
  <c r="G148" i="28" s="1"/>
  <c r="F149" i="28"/>
  <c r="G149" i="28" s="1"/>
  <c r="F150" i="28"/>
  <c r="F151" i="28"/>
  <c r="F152" i="28"/>
  <c r="F153" i="28"/>
  <c r="F154" i="28"/>
  <c r="F155" i="28"/>
  <c r="F156" i="28"/>
  <c r="G156" i="28" s="1"/>
  <c r="F157" i="28"/>
  <c r="G157" i="28" s="1"/>
  <c r="F158" i="28"/>
  <c r="G158" i="28" s="1"/>
  <c r="F159" i="28"/>
  <c r="F160" i="28"/>
  <c r="F161" i="28"/>
  <c r="F162" i="28"/>
  <c r="F163" i="28"/>
  <c r="F164" i="28"/>
  <c r="G164" i="28" s="1"/>
  <c r="F165" i="28"/>
  <c r="G165" i="28" s="1"/>
  <c r="F166" i="28"/>
  <c r="F167" i="28"/>
  <c r="F168" i="28"/>
  <c r="F169" i="28"/>
  <c r="F170" i="28"/>
  <c r="G170" i="28" s="1"/>
  <c r="F171" i="28"/>
  <c r="F172" i="28"/>
  <c r="G172" i="28" s="1"/>
  <c r="F173" i="28"/>
  <c r="G173" i="28" s="1"/>
  <c r="F174" i="28"/>
  <c r="F175" i="28"/>
  <c r="F176" i="28"/>
  <c r="F177" i="28"/>
  <c r="F178" i="28"/>
  <c r="F179" i="28"/>
  <c r="F180" i="28"/>
  <c r="G180" i="28" s="1"/>
  <c r="F181" i="28"/>
  <c r="G181" i="28" s="1"/>
  <c r="F182" i="28"/>
  <c r="F183" i="28"/>
  <c r="F184" i="28"/>
  <c r="F185" i="28"/>
  <c r="F186" i="28"/>
  <c r="F187" i="28"/>
  <c r="F188" i="28"/>
  <c r="G188" i="28" s="1"/>
  <c r="F189" i="28"/>
  <c r="G189" i="28" s="1"/>
  <c r="F190" i="28"/>
  <c r="F191" i="28"/>
  <c r="F192" i="28"/>
  <c r="F193" i="28"/>
  <c r="F194" i="28"/>
  <c r="G194" i="28" s="1"/>
  <c r="F195" i="28"/>
  <c r="F196" i="28"/>
  <c r="G196" i="28" s="1"/>
  <c r="F197" i="28"/>
  <c r="G197" i="28" s="1"/>
  <c r="F198" i="28"/>
  <c r="G198" i="28" s="1"/>
  <c r="F199" i="28"/>
  <c r="F200" i="28"/>
  <c r="F201" i="28"/>
  <c r="F202" i="28"/>
  <c r="F203" i="28"/>
  <c r="F204" i="28"/>
  <c r="G204" i="28" s="1"/>
  <c r="F205" i="28"/>
  <c r="G205" i="28" s="1"/>
  <c r="F206" i="28"/>
  <c r="F207" i="28"/>
  <c r="F208" i="28"/>
  <c r="F209" i="28"/>
  <c r="F210" i="28"/>
  <c r="F211" i="28"/>
  <c r="F212" i="28"/>
  <c r="F3" i="28"/>
  <c r="G210" i="28"/>
  <c r="G146" i="28"/>
  <c r="G124" i="28"/>
  <c r="G123" i="28"/>
  <c r="G116" i="28"/>
  <c r="G90" i="28"/>
  <c r="G89" i="28"/>
  <c r="G74" i="28"/>
  <c r="G66" i="28"/>
  <c r="G61" i="28"/>
  <c r="G59" i="28"/>
  <c r="G58" i="28"/>
  <c r="G50" i="28"/>
  <c r="G34" i="28"/>
  <c r="G29" i="28"/>
  <c r="G26" i="28"/>
  <c r="G18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P102" i="22" s="1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O89" i="22" s="1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O93" i="21" s="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O104" i="20" s="1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O103" i="19" s="1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O94" i="19" s="1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O97" i="17" s="1"/>
  <c r="M98" i="17"/>
  <c r="M99" i="17"/>
  <c r="L98" i="17"/>
  <c r="L99" i="17"/>
  <c r="M92" i="17"/>
  <c r="M93" i="17"/>
  <c r="M94" i="17"/>
  <c r="L92" i="17"/>
  <c r="O92" i="17" s="1"/>
  <c r="L93" i="17"/>
  <c r="L94" i="17"/>
  <c r="O94" i="17" s="1"/>
  <c r="M87" i="17"/>
  <c r="M88" i="17"/>
  <c r="M89" i="17"/>
  <c r="L87" i="17"/>
  <c r="O87" i="17" s="1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O94" i="18" s="1"/>
  <c r="M87" i="18"/>
  <c r="M88" i="18"/>
  <c r="M89" i="18"/>
  <c r="L87" i="18"/>
  <c r="O87" i="18" s="1"/>
  <c r="L88" i="18"/>
  <c r="O88" i="18" s="1"/>
  <c r="L89" i="18"/>
  <c r="O93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O104" i="16" s="1"/>
  <c r="M97" i="16"/>
  <c r="M98" i="16"/>
  <c r="M99" i="16"/>
  <c r="L97" i="16"/>
  <c r="O97" i="16" s="1"/>
  <c r="L98" i="16"/>
  <c r="L99" i="16"/>
  <c r="O99" i="16" s="1"/>
  <c r="M92" i="16"/>
  <c r="M93" i="16"/>
  <c r="M94" i="16"/>
  <c r="L92" i="16"/>
  <c r="L93" i="16"/>
  <c r="O93" i="16" s="1"/>
  <c r="L94" i="16"/>
  <c r="O94" i="16" s="1"/>
  <c r="M87" i="16"/>
  <c r="M88" i="16"/>
  <c r="M89" i="16"/>
  <c r="L87" i="16"/>
  <c r="O87" i="16" s="1"/>
  <c r="L88" i="16"/>
  <c r="L89" i="16"/>
  <c r="O89" i="16" s="1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P104" i="4" s="1"/>
  <c r="N97" i="4"/>
  <c r="N98" i="4"/>
  <c r="N99" i="4"/>
  <c r="M97" i="4"/>
  <c r="P97" i="4" s="1"/>
  <c r="M98" i="4"/>
  <c r="M99" i="4"/>
  <c r="N92" i="4"/>
  <c r="N93" i="4"/>
  <c r="N94" i="4"/>
  <c r="M92" i="4"/>
  <c r="P92" i="4" s="1"/>
  <c r="M93" i="4"/>
  <c r="M94" i="4"/>
  <c r="P94" i="4" s="1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P81" i="22" s="1"/>
  <c r="M82" i="22"/>
  <c r="M83" i="22"/>
  <c r="P83" i="22" s="1"/>
  <c r="N76" i="22"/>
  <c r="N77" i="22"/>
  <c r="N78" i="22"/>
  <c r="M76" i="22"/>
  <c r="P76" i="22" s="1"/>
  <c r="M77" i="22"/>
  <c r="M78" i="22"/>
  <c r="P78" i="22" s="1"/>
  <c r="N71" i="22"/>
  <c r="N72" i="22"/>
  <c r="N73" i="22"/>
  <c r="M71" i="22"/>
  <c r="M72" i="22"/>
  <c r="P72" i="22" s="1"/>
  <c r="M73" i="22"/>
  <c r="P73" i="22" s="1"/>
  <c r="N66" i="22"/>
  <c r="N67" i="22"/>
  <c r="N68" i="22"/>
  <c r="M66" i="22"/>
  <c r="O66" i="22" s="1"/>
  <c r="M67" i="22"/>
  <c r="M68" i="22"/>
  <c r="O68" i="22" s="1"/>
  <c r="P82" i="22"/>
  <c r="P77" i="22"/>
  <c r="P68" i="22"/>
  <c r="S66" i="21"/>
  <c r="S67" i="21"/>
  <c r="S68" i="21"/>
  <c r="R66" i="21"/>
  <c r="R67" i="21"/>
  <c r="R68" i="21"/>
  <c r="M81" i="21"/>
  <c r="M82" i="21"/>
  <c r="M83" i="21"/>
  <c r="L81" i="21"/>
  <c r="O81" i="21" s="1"/>
  <c r="L82" i="21"/>
  <c r="L83" i="21"/>
  <c r="M76" i="21"/>
  <c r="M77" i="21"/>
  <c r="M78" i="21"/>
  <c r="L76" i="21"/>
  <c r="L77" i="21"/>
  <c r="L78" i="21"/>
  <c r="O78" i="21" s="1"/>
  <c r="M71" i="21"/>
  <c r="M72" i="21"/>
  <c r="M73" i="21"/>
  <c r="L71" i="21"/>
  <c r="O71" i="21" s="1"/>
  <c r="L72" i="21"/>
  <c r="L73" i="21"/>
  <c r="O73" i="21" s="1"/>
  <c r="M66" i="21"/>
  <c r="M67" i="21"/>
  <c r="M68" i="21"/>
  <c r="L66" i="21"/>
  <c r="L67" i="21"/>
  <c r="L68" i="21"/>
  <c r="O68" i="21" s="1"/>
  <c r="M76" i="20"/>
  <c r="S66" i="20"/>
  <c r="S67" i="20"/>
  <c r="S68" i="20"/>
  <c r="R66" i="20"/>
  <c r="R67" i="20"/>
  <c r="R68" i="20"/>
  <c r="M81" i="20"/>
  <c r="M82" i="20"/>
  <c r="M83" i="20"/>
  <c r="L81" i="20"/>
  <c r="O81" i="20" s="1"/>
  <c r="L82" i="20"/>
  <c r="L83" i="20"/>
  <c r="M77" i="20"/>
  <c r="M78" i="20"/>
  <c r="L76" i="20"/>
  <c r="O76" i="20" s="1"/>
  <c r="L77" i="20"/>
  <c r="O77" i="20" s="1"/>
  <c r="L78" i="20"/>
  <c r="M71" i="20"/>
  <c r="M72" i="20"/>
  <c r="M73" i="20"/>
  <c r="L71" i="20"/>
  <c r="L72" i="20"/>
  <c r="O72" i="20" s="1"/>
  <c r="L73" i="20"/>
  <c r="O73" i="20" s="1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O81" i="19" s="1"/>
  <c r="L82" i="19"/>
  <c r="O82" i="19" s="1"/>
  <c r="L83" i="19"/>
  <c r="O83" i="19" s="1"/>
  <c r="M76" i="19"/>
  <c r="M77" i="19"/>
  <c r="M78" i="19"/>
  <c r="L76" i="19"/>
  <c r="L77" i="19"/>
  <c r="O77" i="19" s="1"/>
  <c r="L78" i="19"/>
  <c r="O78" i="19" s="1"/>
  <c r="M71" i="19"/>
  <c r="M72" i="19"/>
  <c r="M73" i="19"/>
  <c r="L71" i="19"/>
  <c r="O71" i="19" s="1"/>
  <c r="L72" i="19"/>
  <c r="L73" i="19"/>
  <c r="M66" i="19"/>
  <c r="M67" i="19"/>
  <c r="M68" i="19"/>
  <c r="L66" i="19"/>
  <c r="O66" i="19" s="1"/>
  <c r="L67" i="19"/>
  <c r="L68" i="19"/>
  <c r="S66" i="17"/>
  <c r="S67" i="17"/>
  <c r="S68" i="17"/>
  <c r="R66" i="17"/>
  <c r="R67" i="17"/>
  <c r="R68" i="17"/>
  <c r="M81" i="17"/>
  <c r="M82" i="17"/>
  <c r="M83" i="17"/>
  <c r="L81" i="17"/>
  <c r="O81" i="17" s="1"/>
  <c r="L82" i="17"/>
  <c r="L83" i="17"/>
  <c r="M76" i="17"/>
  <c r="M77" i="17"/>
  <c r="M78" i="17"/>
  <c r="L76" i="17"/>
  <c r="O76" i="17" s="1"/>
  <c r="L77" i="17"/>
  <c r="L78" i="17"/>
  <c r="O78" i="17" s="1"/>
  <c r="M71" i="17"/>
  <c r="M72" i="17"/>
  <c r="M73" i="17"/>
  <c r="L71" i="17"/>
  <c r="O71" i="17" s="1"/>
  <c r="L72" i="17"/>
  <c r="L73" i="17"/>
  <c r="O73" i="17" s="1"/>
  <c r="M66" i="17"/>
  <c r="M67" i="17"/>
  <c r="M68" i="17"/>
  <c r="L66" i="17"/>
  <c r="L67" i="17"/>
  <c r="O67" i="17" s="1"/>
  <c r="L68" i="17"/>
  <c r="O68" i="17" s="1"/>
  <c r="S66" i="18"/>
  <c r="S67" i="18"/>
  <c r="S68" i="18"/>
  <c r="R66" i="18"/>
  <c r="R67" i="18"/>
  <c r="R68" i="18"/>
  <c r="M81" i="18"/>
  <c r="M82" i="18"/>
  <c r="M83" i="18"/>
  <c r="L81" i="18"/>
  <c r="L82" i="18"/>
  <c r="O82" i="18" s="1"/>
  <c r="L83" i="18"/>
  <c r="O83" i="18" s="1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O66" i="18" s="1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O83" i="16" s="1"/>
  <c r="M76" i="16"/>
  <c r="M77" i="16"/>
  <c r="M78" i="16"/>
  <c r="L76" i="16"/>
  <c r="O76" i="16" s="1"/>
  <c r="L77" i="16"/>
  <c r="L78" i="16"/>
  <c r="O78" i="16" s="1"/>
  <c r="M71" i="16"/>
  <c r="M72" i="16"/>
  <c r="M73" i="16"/>
  <c r="L71" i="16"/>
  <c r="L72" i="16"/>
  <c r="L73" i="16"/>
  <c r="O73" i="16" s="1"/>
  <c r="M66" i="16"/>
  <c r="M67" i="16"/>
  <c r="M68" i="16"/>
  <c r="L66" i="16"/>
  <c r="O66" i="16" s="1"/>
  <c r="L67" i="16"/>
  <c r="L68" i="16"/>
  <c r="O68" i="16" s="1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P83" i="4" s="1"/>
  <c r="N76" i="4"/>
  <c r="N77" i="4"/>
  <c r="N78" i="4"/>
  <c r="M76" i="4"/>
  <c r="P76" i="4" s="1"/>
  <c r="M77" i="4"/>
  <c r="M78" i="4"/>
  <c r="N71" i="4"/>
  <c r="N72" i="4"/>
  <c r="N73" i="4"/>
  <c r="M71" i="4"/>
  <c r="P71" i="4" s="1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G32" i="24" s="1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P115" i="22" l="1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B18" i="18"/>
  <c r="B14" i="17"/>
  <c r="O114" i="20"/>
  <c r="G70" i="28"/>
  <c r="B13" i="19"/>
  <c r="O119" i="20"/>
  <c r="B8" i="20"/>
  <c r="P119" i="4"/>
  <c r="O124" i="20"/>
  <c r="G102" i="28"/>
  <c r="P109" i="4"/>
  <c r="B15" i="16"/>
  <c r="O120" i="19"/>
  <c r="B3" i="20"/>
  <c r="B20" i="20"/>
  <c r="G134" i="28"/>
  <c r="P125" i="4"/>
  <c r="O124" i="16"/>
  <c r="O118" i="17"/>
  <c r="G182" i="28"/>
  <c r="B19" i="16"/>
  <c r="B15" i="18"/>
  <c r="B15" i="20"/>
  <c r="B18" i="20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B8" i="4"/>
  <c r="L10" i="28"/>
  <c r="O108" i="4"/>
  <c r="B3" i="4"/>
  <c r="B20" i="4"/>
  <c r="O114" i="16"/>
  <c r="N110" i="18"/>
  <c r="B9" i="18"/>
  <c r="O119" i="19"/>
  <c r="G190" i="28"/>
  <c r="G166" i="28"/>
  <c r="G142" i="28"/>
  <c r="G118" i="28"/>
  <c r="G94" i="28"/>
  <c r="G54" i="28"/>
  <c r="G14" i="28"/>
  <c r="O119" i="16"/>
  <c r="B5" i="17"/>
  <c r="B8" i="17"/>
  <c r="B3" i="19"/>
  <c r="B20" i="19"/>
  <c r="B18" i="17"/>
  <c r="L26" i="28"/>
  <c r="P115" i="4"/>
  <c r="B15" i="4"/>
  <c r="B18" i="4"/>
  <c r="O115" i="16"/>
  <c r="O118" i="16"/>
  <c r="O124" i="18"/>
  <c r="O124" i="17"/>
  <c r="B19" i="19"/>
  <c r="C14" i="4"/>
  <c r="L21" i="28"/>
  <c r="G110" i="28"/>
  <c r="G86" i="28"/>
  <c r="G46" i="28"/>
  <c r="G6" i="28"/>
  <c r="B4" i="4"/>
  <c r="O114" i="17"/>
  <c r="G80" i="28"/>
  <c r="G112" i="28"/>
  <c r="O125" i="16"/>
  <c r="O110" i="18"/>
  <c r="B20" i="18"/>
  <c r="B15" i="19"/>
  <c r="G206" i="28"/>
  <c r="G174" i="28"/>
  <c r="G150" i="28"/>
  <c r="G78" i="28"/>
  <c r="G22" i="28"/>
  <c r="B13" i="4"/>
  <c r="B3" i="16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K7" i="28" s="1"/>
  <c r="M7" i="28" s="1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K23" i="28" s="1"/>
  <c r="M23" i="28" s="1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P60" i="22" s="1"/>
  <c r="N57" i="22"/>
  <c r="M57" i="22"/>
  <c r="N56" i="22"/>
  <c r="M56" i="22"/>
  <c r="N55" i="22"/>
  <c r="M55" i="22"/>
  <c r="O55" i="22" s="1"/>
  <c r="N52" i="22"/>
  <c r="M52" i="22"/>
  <c r="N51" i="22"/>
  <c r="M51" i="22"/>
  <c r="N50" i="22"/>
  <c r="M50" i="22"/>
  <c r="P50" i="22" s="1"/>
  <c r="N47" i="22"/>
  <c r="M47" i="22"/>
  <c r="O47" i="22" s="1"/>
  <c r="N46" i="22"/>
  <c r="M46" i="22"/>
  <c r="N45" i="22"/>
  <c r="M45" i="22"/>
  <c r="N41" i="22"/>
  <c r="M41" i="22"/>
  <c r="P41" i="22" s="1"/>
  <c r="N40" i="22"/>
  <c r="M40" i="22"/>
  <c r="N39" i="22"/>
  <c r="M39" i="22"/>
  <c r="P39" i="22" s="1"/>
  <c r="N36" i="22"/>
  <c r="M36" i="22"/>
  <c r="N35" i="22"/>
  <c r="M35" i="22"/>
  <c r="P35" i="22" s="1"/>
  <c r="N34" i="22"/>
  <c r="M34" i="22"/>
  <c r="O34" i="22" s="1"/>
  <c r="N31" i="22"/>
  <c r="M31" i="22"/>
  <c r="P31" i="22" s="1"/>
  <c r="N30" i="22"/>
  <c r="M30" i="22"/>
  <c r="N29" i="22"/>
  <c r="M29" i="22"/>
  <c r="P29" i="22" s="1"/>
  <c r="N26" i="22"/>
  <c r="M26" i="22"/>
  <c r="O26" i="22" s="1"/>
  <c r="N25" i="22"/>
  <c r="M25" i="22"/>
  <c r="P25" i="22" s="1"/>
  <c r="N24" i="22"/>
  <c r="M24" i="22"/>
  <c r="P24" i="22" s="1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O46" i="21" s="1"/>
  <c r="M45" i="21"/>
  <c r="L45" i="21"/>
  <c r="M41" i="21"/>
  <c r="L41" i="21"/>
  <c r="O41" i="21" s="1"/>
  <c r="M40" i="21"/>
  <c r="L40" i="21"/>
  <c r="O40" i="21" s="1"/>
  <c r="M39" i="21"/>
  <c r="L39" i="21"/>
  <c r="O39" i="21" s="1"/>
  <c r="M36" i="21"/>
  <c r="L36" i="21"/>
  <c r="M35" i="21"/>
  <c r="L35" i="21"/>
  <c r="O35" i="21" s="1"/>
  <c r="M34" i="21"/>
  <c r="L34" i="21"/>
  <c r="O34" i="21" s="1"/>
  <c r="M31" i="21"/>
  <c r="L31" i="21"/>
  <c r="O31" i="21" s="1"/>
  <c r="M30" i="21"/>
  <c r="L30" i="21"/>
  <c r="O30" i="21" s="1"/>
  <c r="M29" i="21"/>
  <c r="L29" i="21"/>
  <c r="M26" i="21"/>
  <c r="L26" i="21"/>
  <c r="O26" i="21" s="1"/>
  <c r="M25" i="21"/>
  <c r="L25" i="21"/>
  <c r="M24" i="21"/>
  <c r="L24" i="21"/>
  <c r="O24" i="21" s="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O4" i="21" s="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O61" i="20" s="1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O40" i="20" s="1"/>
  <c r="M39" i="20"/>
  <c r="L39" i="20"/>
  <c r="O39" i="20" s="1"/>
  <c r="M36" i="20"/>
  <c r="L36" i="20"/>
  <c r="O36" i="20" s="1"/>
  <c r="M35" i="20"/>
  <c r="L35" i="20"/>
  <c r="O35" i="20" s="1"/>
  <c r="M34" i="20"/>
  <c r="L34" i="20"/>
  <c r="O34" i="20" s="1"/>
  <c r="M31" i="20"/>
  <c r="L31" i="20"/>
  <c r="O31" i="20" s="1"/>
  <c r="M30" i="20"/>
  <c r="L30" i="20"/>
  <c r="O30" i="20" s="1"/>
  <c r="M29" i="20"/>
  <c r="L29" i="20"/>
  <c r="O29" i="20" s="1"/>
  <c r="M26" i="20"/>
  <c r="L26" i="20"/>
  <c r="M25" i="20"/>
  <c r="L25" i="20"/>
  <c r="O25" i="20" s="1"/>
  <c r="M24" i="20"/>
  <c r="L24" i="20"/>
  <c r="M20" i="20"/>
  <c r="L20" i="20"/>
  <c r="M19" i="20"/>
  <c r="L19" i="20"/>
  <c r="M18" i="20"/>
  <c r="L18" i="20"/>
  <c r="M15" i="20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O5" i="20" s="1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O61" i="19" s="1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O50" i="19" s="1"/>
  <c r="M47" i="19"/>
  <c r="L47" i="19"/>
  <c r="O47" i="19" s="1"/>
  <c r="M46" i="19"/>
  <c r="L46" i="19"/>
  <c r="M45" i="19"/>
  <c r="L45" i="19"/>
  <c r="M41" i="19"/>
  <c r="L41" i="19"/>
  <c r="M40" i="19"/>
  <c r="L40" i="19"/>
  <c r="O40" i="19" s="1"/>
  <c r="M39" i="19"/>
  <c r="L39" i="19"/>
  <c r="M36" i="19"/>
  <c r="L36" i="19"/>
  <c r="M35" i="19"/>
  <c r="L35" i="19"/>
  <c r="M34" i="19"/>
  <c r="L34" i="19"/>
  <c r="O34" i="19" s="1"/>
  <c r="M31" i="19"/>
  <c r="L31" i="19"/>
  <c r="M30" i="19"/>
  <c r="L30" i="19"/>
  <c r="M29" i="19"/>
  <c r="L29" i="19"/>
  <c r="O29" i="19" s="1"/>
  <c r="M26" i="19"/>
  <c r="L26" i="19"/>
  <c r="O26" i="19" s="1"/>
  <c r="M25" i="19"/>
  <c r="L25" i="19"/>
  <c r="N24" i="19" s="1"/>
  <c r="M24" i="19"/>
  <c r="L24" i="19"/>
  <c r="O24" i="19" s="1"/>
  <c r="M20" i="19"/>
  <c r="L20" i="19"/>
  <c r="M19" i="19"/>
  <c r="L19" i="19"/>
  <c r="M18" i="19"/>
  <c r="L18" i="19"/>
  <c r="M15" i="19"/>
  <c r="L15" i="19"/>
  <c r="N15" i="19" s="1"/>
  <c r="M14" i="19"/>
  <c r="L14" i="19"/>
  <c r="O14" i="19" s="1"/>
  <c r="M13" i="19"/>
  <c r="L13" i="19"/>
  <c r="M10" i="19"/>
  <c r="L10" i="19"/>
  <c r="M9" i="19"/>
  <c r="L9" i="19"/>
  <c r="O9" i="19" s="1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M39" i="18"/>
  <c r="L39" i="18"/>
  <c r="O39" i="18" s="1"/>
  <c r="M36" i="18"/>
  <c r="L36" i="18"/>
  <c r="O36" i="18" s="1"/>
  <c r="M35" i="18"/>
  <c r="L35" i="18"/>
  <c r="O35" i="18" s="1"/>
  <c r="M34" i="18"/>
  <c r="L34" i="18"/>
  <c r="M31" i="18"/>
  <c r="L31" i="18"/>
  <c r="M30" i="18"/>
  <c r="L30" i="18"/>
  <c r="O30" i="18" s="1"/>
  <c r="M29" i="18"/>
  <c r="L29" i="18"/>
  <c r="N30" i="18" s="1"/>
  <c r="M26" i="18"/>
  <c r="L26" i="18"/>
  <c r="O26" i="18" s="1"/>
  <c r="M25" i="18"/>
  <c r="L25" i="18"/>
  <c r="M24" i="18"/>
  <c r="L24" i="18"/>
  <c r="O24" i="18" s="1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O4" i="18" s="1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O57" i="17" s="1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O46" i="17" s="1"/>
  <c r="M45" i="17"/>
  <c r="L45" i="17"/>
  <c r="M41" i="17"/>
  <c r="L41" i="17"/>
  <c r="O41" i="17" s="1"/>
  <c r="M40" i="17"/>
  <c r="L40" i="17"/>
  <c r="O40" i="17" s="1"/>
  <c r="M39" i="17"/>
  <c r="L39" i="17"/>
  <c r="N40" i="17" s="1"/>
  <c r="M36" i="17"/>
  <c r="L36" i="17"/>
  <c r="O36" i="17" s="1"/>
  <c r="M35" i="17"/>
  <c r="L35" i="17"/>
  <c r="M34" i="17"/>
  <c r="L34" i="17"/>
  <c r="O34" i="17" s="1"/>
  <c r="M31" i="17"/>
  <c r="L31" i="17"/>
  <c r="M30" i="17"/>
  <c r="L30" i="17"/>
  <c r="O30" i="17" s="1"/>
  <c r="M29" i="17"/>
  <c r="L29" i="17"/>
  <c r="M26" i="17"/>
  <c r="L26" i="17"/>
  <c r="M25" i="17"/>
  <c r="L25" i="17"/>
  <c r="M24" i="17"/>
  <c r="L24" i="17"/>
  <c r="O24" i="17" s="1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P10" i="2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O45" i="16" s="1"/>
  <c r="M41" i="16"/>
  <c r="L41" i="16"/>
  <c r="O41" i="16" s="1"/>
  <c r="M40" i="16"/>
  <c r="L40" i="16"/>
  <c r="M39" i="16"/>
  <c r="L39" i="16"/>
  <c r="O39" i="16" s="1"/>
  <c r="M36" i="16"/>
  <c r="L36" i="16"/>
  <c r="M35" i="16"/>
  <c r="L35" i="16"/>
  <c r="O35" i="16" s="1"/>
  <c r="M34" i="16"/>
  <c r="L34" i="16"/>
  <c r="M31" i="16"/>
  <c r="L31" i="16"/>
  <c r="O31" i="16" s="1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P50" i="4" s="1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C7" i="12"/>
  <c r="C8" i="12"/>
  <c r="C9" i="12"/>
  <c r="C10" i="12"/>
  <c r="G10" i="12" s="1"/>
  <c r="C11" i="12"/>
  <c r="G11" i="12" s="1"/>
  <c r="C12" i="12"/>
  <c r="C13" i="12"/>
  <c r="C14" i="12"/>
  <c r="C15" i="12"/>
  <c r="C16" i="12"/>
  <c r="C17" i="12"/>
  <c r="C18" i="12"/>
  <c r="G18" i="12" s="1"/>
  <c r="C19" i="12"/>
  <c r="G19" i="12" s="1"/>
  <c r="C20" i="12"/>
  <c r="C21" i="12"/>
  <c r="C22" i="12"/>
  <c r="C23" i="12"/>
  <c r="C24" i="12"/>
  <c r="C25" i="12"/>
  <c r="C26" i="12"/>
  <c r="G26" i="12" s="1"/>
  <c r="C27" i="12"/>
  <c r="G27" i="12" s="1"/>
  <c r="C28" i="12"/>
  <c r="C29" i="12"/>
  <c r="C30" i="12"/>
  <c r="C31" i="12"/>
  <c r="C32" i="12"/>
  <c r="C33" i="12"/>
  <c r="C34" i="12"/>
  <c r="G34" i="12" s="1"/>
  <c r="C35" i="12"/>
  <c r="G35" i="12" s="1"/>
  <c r="C36" i="12"/>
  <c r="C37" i="12"/>
  <c r="C38" i="12"/>
  <c r="C39" i="12"/>
  <c r="C40" i="12"/>
  <c r="C41" i="12"/>
  <c r="C42" i="12"/>
  <c r="G42" i="12" s="1"/>
  <c r="C43" i="12"/>
  <c r="G43" i="12" s="1"/>
  <c r="C44" i="12"/>
  <c r="C45" i="12"/>
  <c r="C46" i="12"/>
  <c r="C47" i="12"/>
  <c r="C48" i="12"/>
  <c r="C49" i="12"/>
  <c r="C50" i="12"/>
  <c r="G50" i="12" s="1"/>
  <c r="C51" i="12"/>
  <c r="G51" i="12" s="1"/>
  <c r="C52" i="12"/>
  <c r="C53" i="12"/>
  <c r="C54" i="12"/>
  <c r="C55" i="12"/>
  <c r="C56" i="12"/>
  <c r="C57" i="12"/>
  <c r="C58" i="12"/>
  <c r="G58" i="12" s="1"/>
  <c r="C59" i="12"/>
  <c r="G59" i="12" s="1"/>
  <c r="C60" i="12"/>
  <c r="C61" i="12"/>
  <c r="C62" i="12"/>
  <c r="C63" i="12"/>
  <c r="C64" i="12"/>
  <c r="C65" i="12"/>
  <c r="C66" i="12"/>
  <c r="G66" i="12" s="1"/>
  <c r="C67" i="12"/>
  <c r="G67" i="12" s="1"/>
  <c r="C68" i="12"/>
  <c r="C69" i="12"/>
  <c r="C70" i="12"/>
  <c r="C71" i="12"/>
  <c r="C72" i="12"/>
  <c r="C73" i="12"/>
  <c r="C74" i="12"/>
  <c r="G74" i="12" s="1"/>
  <c r="C75" i="12"/>
  <c r="G75" i="12" s="1"/>
  <c r="C76" i="12"/>
  <c r="C77" i="12"/>
  <c r="C78" i="12"/>
  <c r="C79" i="12"/>
  <c r="C80" i="12"/>
  <c r="C81" i="12"/>
  <c r="C82" i="12"/>
  <c r="G82" i="12" s="1"/>
  <c r="C83" i="12"/>
  <c r="G83" i="12" s="1"/>
  <c r="C84" i="12"/>
  <c r="C85" i="12"/>
  <c r="C86" i="12"/>
  <c r="C87" i="12"/>
  <c r="C88" i="12"/>
  <c r="C89" i="12"/>
  <c r="C90" i="12"/>
  <c r="G90" i="12" s="1"/>
  <c r="C91" i="12"/>
  <c r="G91" i="12" s="1"/>
  <c r="C92" i="12"/>
  <c r="C93" i="12"/>
  <c r="C94" i="12"/>
  <c r="C95" i="12"/>
  <c r="C96" i="12"/>
  <c r="C97" i="12"/>
  <c r="C98" i="12"/>
  <c r="G98" i="12" s="1"/>
  <c r="C99" i="12"/>
  <c r="G99" i="12" s="1"/>
  <c r="C100" i="12"/>
  <c r="C101" i="12"/>
  <c r="C102" i="12"/>
  <c r="C103" i="12"/>
  <c r="C104" i="12"/>
  <c r="C105" i="12"/>
  <c r="C106" i="12"/>
  <c r="G106" i="12" s="1"/>
  <c r="C107" i="12"/>
  <c r="G107" i="12" s="1"/>
  <c r="C108" i="12"/>
  <c r="C109" i="12"/>
  <c r="C110" i="12"/>
  <c r="C111" i="12"/>
  <c r="C112" i="12"/>
  <c r="C113" i="12"/>
  <c r="C114" i="12"/>
  <c r="G114" i="12" s="1"/>
  <c r="C115" i="12"/>
  <c r="G115" i="12" s="1"/>
  <c r="C116" i="12"/>
  <c r="C117" i="12"/>
  <c r="C118" i="12"/>
  <c r="C119" i="12"/>
  <c r="C120" i="12"/>
  <c r="C121" i="12"/>
  <c r="C122" i="12"/>
  <c r="G122" i="12" s="1"/>
  <c r="C123" i="12"/>
  <c r="G123" i="12" s="1"/>
  <c r="C124" i="12"/>
  <c r="C125" i="12"/>
  <c r="C126" i="12"/>
  <c r="C127" i="12"/>
  <c r="C128" i="12"/>
  <c r="C129" i="12"/>
  <c r="C130" i="12"/>
  <c r="G130" i="12" s="1"/>
  <c r="C131" i="12"/>
  <c r="G131" i="12" s="1"/>
  <c r="C132" i="12"/>
  <c r="C133" i="12"/>
  <c r="C134" i="12"/>
  <c r="C135" i="12"/>
  <c r="C136" i="12"/>
  <c r="C137" i="12"/>
  <c r="C138" i="12"/>
  <c r="G138" i="12" s="1"/>
  <c r="C139" i="12"/>
  <c r="G139" i="12" s="1"/>
  <c r="C140" i="12"/>
  <c r="C141" i="12"/>
  <c r="C142" i="12"/>
  <c r="C143" i="12"/>
  <c r="C144" i="12"/>
  <c r="C145" i="12"/>
  <c r="C146" i="12"/>
  <c r="G146" i="12" s="1"/>
  <c r="C147" i="12"/>
  <c r="G147" i="12" s="1"/>
  <c r="C148" i="12"/>
  <c r="C149" i="12"/>
  <c r="C150" i="12"/>
  <c r="C151" i="12"/>
  <c r="C152" i="12"/>
  <c r="C153" i="12"/>
  <c r="C154" i="12"/>
  <c r="G154" i="12" s="1"/>
  <c r="C155" i="12"/>
  <c r="G155" i="12" s="1"/>
  <c r="C156" i="12"/>
  <c r="C157" i="12"/>
  <c r="C158" i="12"/>
  <c r="C159" i="12"/>
  <c r="C160" i="12"/>
  <c r="C161" i="12"/>
  <c r="C162" i="12"/>
  <c r="G162" i="12" s="1"/>
  <c r="C163" i="12"/>
  <c r="G163" i="12" s="1"/>
  <c r="C164" i="12"/>
  <c r="C165" i="12"/>
  <c r="C166" i="12"/>
  <c r="C167" i="12"/>
  <c r="C168" i="12"/>
  <c r="C169" i="12"/>
  <c r="C170" i="12"/>
  <c r="G170" i="12" s="1"/>
  <c r="C171" i="12"/>
  <c r="G171" i="12" s="1"/>
  <c r="C172" i="12"/>
  <c r="C173" i="12"/>
  <c r="C174" i="12"/>
  <c r="C175" i="12"/>
  <c r="C176" i="12"/>
  <c r="C177" i="12"/>
  <c r="C178" i="12"/>
  <c r="G178" i="12" s="1"/>
  <c r="C179" i="12"/>
  <c r="G179" i="12" s="1"/>
  <c r="C180" i="12"/>
  <c r="C181" i="12"/>
  <c r="C182" i="12"/>
  <c r="C183" i="12"/>
  <c r="C184" i="12"/>
  <c r="C185" i="12"/>
  <c r="C186" i="12"/>
  <c r="G186" i="12" s="1"/>
  <c r="C187" i="12"/>
  <c r="G187" i="12" s="1"/>
  <c r="C188" i="12"/>
  <c r="C189" i="12"/>
  <c r="C190" i="12"/>
  <c r="C191" i="12"/>
  <c r="C192" i="12"/>
  <c r="C193" i="12"/>
  <c r="C194" i="12"/>
  <c r="G194" i="12" s="1"/>
  <c r="C195" i="12"/>
  <c r="G195" i="12" s="1"/>
  <c r="C196" i="12"/>
  <c r="C197" i="12"/>
  <c r="C198" i="12"/>
  <c r="C199" i="12"/>
  <c r="C200" i="12"/>
  <c r="C201" i="12"/>
  <c r="C202" i="12"/>
  <c r="G202" i="12" s="1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K18" i="28" l="1"/>
  <c r="K21" i="28"/>
  <c r="M21" i="28" s="1"/>
  <c r="K22" i="28"/>
  <c r="M22" i="28" s="1"/>
  <c r="K5" i="28"/>
  <c r="K9" i="28"/>
  <c r="M9" i="28" s="1"/>
  <c r="K10" i="28"/>
  <c r="M10" i="28" s="1"/>
  <c r="K6" i="28"/>
  <c r="K19" i="28"/>
  <c r="M19" i="28" s="1"/>
  <c r="K20" i="28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M18" i="28"/>
  <c r="K4" i="28"/>
  <c r="M4" i="28" s="1"/>
  <c r="K25" i="28"/>
  <c r="M25" i="28" s="1"/>
  <c r="K3" i="28"/>
  <c r="M3" i="28" s="1"/>
  <c r="K17" i="28"/>
  <c r="M17" i="28" s="1"/>
  <c r="M5" i="28"/>
  <c r="K16" i="28"/>
  <c r="M16" i="28" s="1"/>
  <c r="K11" i="28"/>
  <c r="M11" i="28" s="1"/>
  <c r="M6" i="28"/>
  <c r="K24" i="28"/>
  <c r="M24" i="28" s="1"/>
  <c r="M20" i="28"/>
  <c r="L9" i="26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N9" i="26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E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E14" i="22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E9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E5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E19" i="18"/>
  <c r="N41" i="18"/>
  <c r="N39" i="18"/>
  <c r="N40" i="18"/>
  <c r="N35" i="18"/>
  <c r="E1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V3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K14" i="12" s="1"/>
  <c r="G148" i="12"/>
  <c r="G140" i="12"/>
  <c r="K13" i="12" s="1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K24" i="12" s="1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E10" i="4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X5" i="22" l="1"/>
  <c r="X7" i="22"/>
  <c r="V8" i="17"/>
  <c r="V2" i="17"/>
  <c r="X2" i="22"/>
  <c r="K5" i="12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E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E5" i="3" s="1"/>
  <c r="V6" i="17"/>
  <c r="V9" i="18"/>
  <c r="E4" i="3" s="1"/>
  <c r="V6" i="18"/>
  <c r="V9" i="19"/>
  <c r="E6" i="3" s="1"/>
  <c r="V6" i="19"/>
  <c r="V4" i="19"/>
  <c r="V8" i="20"/>
  <c r="V4" i="20"/>
  <c r="V5" i="21"/>
  <c r="X10" i="22"/>
  <c r="V5" i="20"/>
  <c r="V9" i="21"/>
  <c r="E8" i="3" s="1"/>
  <c r="V6" i="21"/>
  <c r="V7" i="21"/>
  <c r="V4" i="21"/>
  <c r="X4" i="22"/>
  <c r="X11" i="22"/>
  <c r="E9" i="3" s="1"/>
  <c r="X8" i="22"/>
  <c r="X9" i="4"/>
  <c r="D8" i="4"/>
  <c r="X11" i="4"/>
  <c r="E2" i="3" s="1"/>
  <c r="X8" i="4"/>
  <c r="V5" i="16"/>
  <c r="V7" i="17"/>
  <c r="V3" i="17"/>
  <c r="V2" i="18"/>
  <c r="V8" i="19"/>
  <c r="V9" i="20"/>
  <c r="E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K9" i="12"/>
  <c r="M9" i="12" s="1"/>
  <c r="K26" i="12"/>
  <c r="M26" i="12" s="1"/>
  <c r="K7" i="12"/>
  <c r="M7" i="12" s="1"/>
  <c r="M24" i="12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M22" i="12"/>
  <c r="K19" i="12"/>
  <c r="K4" i="12"/>
  <c r="M4" i="12" s="1"/>
  <c r="M14" i="12"/>
  <c r="M13" i="12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M5" i="12"/>
  <c r="K28" i="12"/>
  <c r="M28" i="12" s="1"/>
  <c r="K10" i="12"/>
  <c r="M10" i="12" s="1"/>
  <c r="K29" i="12"/>
  <c r="M29" i="12" s="1"/>
  <c r="M19" i="12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<sst xmlns="http://schemas.openxmlformats.org/spreadsheetml/2006/main" count="13312" uniqueCount="835">
  <si>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</si>
  <si>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</si>
  <si>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</si>
  <si>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</si>
  <si>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</si>
  <si>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</si>
  <si>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</si>
  <si>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</si>
  <si>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</si>
  <si>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</si>
  <si>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</si>
  <si>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</si>
  <si>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</si>
  <si>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</si>
  <si>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</si>
  <si>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</si>
  <si>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</si>
  <si>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</si>
  <si>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</si>
  <si>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</si>
  <si>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</si>
  <si>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</si>
  <si>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</si>
  <si>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</si>
  <si>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</si>
  <si>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</si>
  <si>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</si>
  <si>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</si>
  <si>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</si>
  <si>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</si>
  <si>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</si>
  <si>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</si>
  <si>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</si>
  <si>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</si>
  <si>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</si>
  <si>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</si>
  <si>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</si>
  <si>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</si>
  <si>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</si>
  <si>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</si>
  <si>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</si>
  <si>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</si>
  <si>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</si>
  <si>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</si>
  <si>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</si>
  <si>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</si>
  <si>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</si>
  <si>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</si>
  <si>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</si>
  <si>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</si>
  <si>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</si>
  <si>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</si>
  <si>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</si>
  <si>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</si>
  <si>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</si>
  <si>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</si>
  <si>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</si>
  <si>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</si>
  <si>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</si>
  <si>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</si>
  <si>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</si>
  <si>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</si>
  <si>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</si>
  <si>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</si>
  <si>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</si>
  <si>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</si>
  <si>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</si>
  <si>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</si>
  <si>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</si>
  <si>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</si>
  <si>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</si>
  <si>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</si>
  <si>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</si>
  <si>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</si>
  <si>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</si>
  <si>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</si>
  <si>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</si>
  <si>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</si>
  <si>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</si>
  <si>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</si>
  <si>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</si>
  <si>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</si>
  <si>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</si>
  <si>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</si>
  <si>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</si>
  <si>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</si>
  <si>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</si>
  <si>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</si>
  <si>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</si>
  <si>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</si>
  <si>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</si>
  <si>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</si>
  <si>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</si>
  <si>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</si>
  <si>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</si>
  <si>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</si>
  <si>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</si>
  <si>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</si>
  <si>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</si>
  <si>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</si>
  <si>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</si>
  <si>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</si>
  <si>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</si>
  <si>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</si>
  <si>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</si>
  <si>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</si>
  <si>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</si>
  <si>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</si>
  <si>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</si>
  <si>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</si>
  <si>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</si>
  <si>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</si>
  <si>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</si>
  <si>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</si>
  <si>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</si>
  <si>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</si>
  <si>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</si>
  <si>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</si>
  <si>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</si>
  <si>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</si>
  <si>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</si>
  <si>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</si>
  <si>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</si>
  <si>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</si>
  <si>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</si>
  <si>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</si>
  <si>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</si>
  <si>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</si>
  <si>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</si>
  <si>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</si>
  <si>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</si>
  <si>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</si>
  <si>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</si>
  <si>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</si>
  <si>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</si>
  <si>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</si>
  <si>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</si>
  <si>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</si>
  <si>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</si>
  <si>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</si>
  <si>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</si>
  <si>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</si>
  <si>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</si>
  <si>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</si>
  <si>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</si>
  <si>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</si>
  <si>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</si>
  <si>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</si>
  <si>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</si>
  <si>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</si>
  <si>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</si>
  <si>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</si>
  <si>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</si>
  <si>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</si>
  <si>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</si>
  <si>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</si>
  <si>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</si>
  <si>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</si>
  <si>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</si>
  <si>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</si>
  <si>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</si>
  <si>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</si>
  <si>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</si>
  <si>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</si>
  <si>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</si>
  <si>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</si>
  <si>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</si>
  <si>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</si>
  <si>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</si>
  <si>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</si>
  <si>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</si>
  <si>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</si>
  <si>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</si>
  <si>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</si>
  <si>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</si>
  <si>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</si>
  <si>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</si>
  <si>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</si>
  <si>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</si>
  <si>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</si>
  <si>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</si>
  <si>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72553eb0-fbbe-11ec-9e2c-6f1be2add78d</t>
  </si>
  <si>
    <t>a08f8760-fbc6-11ec-9e2c-6f1be2add78d</t>
  </si>
  <si>
    <t>e1c583b0-fbd0-11ec-9e2c-6f1be2add78d</t>
  </si>
  <si>
    <t>5f371ab0-fbd7-11ec-9e2c-6f1be2add78d</t>
  </si>
  <si>
    <t>57070780-fbdf-11ec-9e2c-6f1be2add78d</t>
  </si>
  <si>
    <t>6b4fc5d0-fbe7-11ec-9e2c-6f1be2add78d</t>
  </si>
  <si>
    <t>82f92630-fbed-11ec-9e2c-6f1be2add78d</t>
  </si>
  <si>
    <t>2eadb540-fbf8-11ec-9e2c-6f1be2add78d</t>
  </si>
  <si>
    <t>6326a7c0-fc00-11ec-9e2c-6f1be2add78d</t>
  </si>
  <si>
    <t>11846fc0-fc09-11ec-9e2c-6f1be2add78d</t>
  </si>
  <si>
    <t>6e45e240-fc11-11ec-9e2c-6f1be2add78d</t>
  </si>
  <si>
    <t>649b2080-fc1a-11ec-9e2c-6f1be2add78d</t>
  </si>
  <si>
    <t>12aa2140-fc9c-11ec-999a-1f5212c173ea</t>
  </si>
  <si>
    <t>586dcdf0-fca4-11ec-999a-1f5212c173ea</t>
  </si>
  <si>
    <t>050db1f0-fcb0-11ec-999a-1f5212c173ea</t>
  </si>
  <si>
    <t>9a80d510-fcb4-11ec-999a-1f5212c173ea</t>
  </si>
  <si>
    <t>ea56efe0-fcbc-11ec-999a-1f5212c173ea</t>
  </si>
  <si>
    <t>1329e680-fcc6-11ec-999a-1f5212c173ea</t>
  </si>
  <si>
    <t>bcfb5a80-fccc-11ec-999a-1f5212c173ea</t>
  </si>
  <si>
    <t>59b19af0-fcd8-11ec-999a-1f5212c173ea</t>
  </si>
  <si>
    <t>7db62420-fce2-11ec-999a-1f5212c173ea</t>
  </si>
  <si>
    <t>ca745090-fcea-11ec-999a-1f5212c173ea</t>
  </si>
  <si>
    <t>892881b0-fd35-11ec-a5f8-7715c408440b</t>
  </si>
  <si>
    <t>00f7cb60-fd3b-11ec-a5f8-7715c408440b</t>
  </si>
  <si>
    <t>04c19910-fd45-11ec-a5f8-7715c408440b</t>
  </si>
  <si>
    <t>75c5b6f0-fd77-11ec-bf5f-1972df275fa9</t>
  </si>
  <si>
    <t>ae5976f0-fd81-11ec-bf5f-1972df275fa9</t>
  </si>
  <si>
    <t>bbb15d00-fd8a-11ec-bf5f-1972df275fa9</t>
  </si>
  <si>
    <t>09f83a60-fd95-11ec-bf5f-1972df275fa9</t>
  </si>
  <si>
    <t>28595d70-fda1-11ec-bf5f-1972df275fa9</t>
  </si>
  <si>
    <t>d21a0130-fdaa-11ec-bf5f-1972df275fa9</t>
  </si>
  <si>
    <t>307d0b30-fdb2-11ec-bf5f-1972df275fa9</t>
  </si>
  <si>
    <t>05887860-fe3e-11ec-8a00-bdfd873e7d2b</t>
  </si>
  <si>
    <t>a6acbe20-fe45-11ec-8a00-bdfd873e7d2b</t>
  </si>
  <si>
    <t>88ba67d0-fe4c-11ec-8a00-bdfd873e7d2b</t>
  </si>
  <si>
    <t>ba029750-fe55-11ec-8a00-bdfd873e7d2b</t>
  </si>
  <si>
    <t>be782370-fe61-11ec-8a00-bdfd873e7d2b</t>
  </si>
  <si>
    <t>816d5510-fe69-11ec-8a00-bdfd873e7d2b</t>
  </si>
  <si>
    <t>ef993430-fe70-11ec-8a00-bdfd873e7d2b</t>
  </si>
  <si>
    <t>3055dea0-fe77-11ec-8a00-bdfd873e7d2b</t>
  </si>
  <si>
    <t>4b43a9b0-fe7f-11ec-8a00-bdfd873e7d2b</t>
  </si>
  <si>
    <t>0fcc1af0-fe86-11ec-8a00-bdfd873e7d2b</t>
  </si>
  <si>
    <t>ad5777f0-fe8c-11ec-8a00-bdfd873e7d2b</t>
  </si>
  <si>
    <t>6d338840-fecc-11ec-9d0c-2f914600d49a</t>
  </si>
  <si>
    <t>1f27f4a0-ff0e-11ec-9fda-d33abe7fa01e</t>
  </si>
  <si>
    <t>067a1430-ff16-11ec-9fda-d33abe7fa01e</t>
  </si>
  <si>
    <t>99dc4c20-ff2f-11ec-9fda-d33abe7fa01e</t>
  </si>
  <si>
    <t>5476aab0-ff37-11ec-9fda-d33abe7fa01e</t>
  </si>
  <si>
    <t>a3db7800-ff3d-11ec-9fda-d33abe7fa01e</t>
  </si>
  <si>
    <t>aace4080-ff46-11ec-9fda-d33abe7fa01e</t>
  </si>
  <si>
    <t>4d4e1740-ff51-11ec-9fda-d33abe7fa01e</t>
  </si>
  <si>
    <t>ff1b04a0-ff75-11ec-9494-2b636f188e30</t>
  </si>
  <si>
    <t>93c4f210-ff7f-11ec-9494-2b636f188e30</t>
  </si>
  <si>
    <t>e83f7cc0-ff89-11ec-9494-2b636f188e30</t>
  </si>
  <si>
    <t>258a9fc0-ff93-11ec-9494-2b636f188e30</t>
  </si>
  <si>
    <t>c1c8bc40-ff99-11ec-9494-2b636f188e30</t>
  </si>
  <si>
    <t>16f09df0-ffa4-11ec-9494-2b636f188e30</t>
  </si>
  <si>
    <t>bf905340-ffab-11ec-9494-2b636f188e30</t>
  </si>
  <si>
    <t>e2be0140-ffb1-11ec-9494-2b636f188e30</t>
  </si>
  <si>
    <t>ec10a530-ffda-11ec-88bb-a1bbb976049a</t>
  </si>
  <si>
    <t>c0f789f0-ffe3-11ec-88bb-a1bbb976049a</t>
  </si>
  <si>
    <t>411446f0-ffee-11ec-88bb-a1bbb976049a</t>
  </si>
  <si>
    <t>65aa6920-fff5-11ec-88bb-a1bbb976049a</t>
  </si>
  <si>
    <t>42135480-fffb-11ec-88bb-a1bbb976049a</t>
  </si>
  <si>
    <t>04c79aa0-0005-11ed-88bb-a1bbb976049a</t>
  </si>
  <si>
    <t>7cf0ee60-000e-11ed-88bb-a1bbb976049a</t>
  </si>
  <si>
    <t>30011ae0-0017-11ed-88bb-a1bbb976049a</t>
  </si>
  <si>
    <t>b24f4920-0069-11ed-99c1-ffae89b80b48</t>
  </si>
  <si>
    <t>5ca62450-0071-11ed-99c1-ffae89b80b48</t>
  </si>
  <si>
    <t>aecba2d0-0078-11ed-99c1-ffae89b80b48</t>
  </si>
  <si>
    <t>22365280-0081-11ed-99c1-ffae89b80b48</t>
  </si>
  <si>
    <t>25463b80-008a-11ed-99c1-ffae89b80b48</t>
  </si>
  <si>
    <t>b4bf0540-0098-11ed-a0f2-093208bb6ce4</t>
  </si>
  <si>
    <t>9282f750-009f-11ed-a0f2-093208bb6ce4</t>
  </si>
  <si>
    <t>ecfc78d0-00ab-11ed-a0f2-093208bb6ce4</t>
  </si>
  <si>
    <t>4de40e00-00b7-11ed-a0f2-093208bb6ce4</t>
  </si>
  <si>
    <t>c8f0ab90-00c0-11ed-a0f2-093208bb6ce4</t>
  </si>
  <si>
    <t>a3242570-012b-11ed-a0db-e94d2c812c97</t>
  </si>
  <si>
    <t>f21166e0-0133-11ed-a0db-e94d2c812c97</t>
  </si>
  <si>
    <t>acf1bd30-013d-11ed-a0db-e94d2c812c97</t>
  </si>
  <si>
    <t>f511db00-0146-11ed-a0db-e94d2c812c97</t>
  </si>
  <si>
    <t>c297e7a0-0150-11ed-a0db-e94d2c812c97</t>
  </si>
  <si>
    <t>f0443210-0161-11ed-9f07-513d1b72ec94</t>
  </si>
  <si>
    <t>da237a40-016b-11ed-9f07-513d1b72ec94</t>
  </si>
  <si>
    <t>b7fb4270-0172-11ed-9f07-513d1b72ec94</t>
  </si>
  <si>
    <t>62ff8260-017f-11ed-9f07-513d1b72ec94</t>
  </si>
  <si>
    <t>4087f210-0186-11ed-9f07-513d1b72ec94</t>
  </si>
  <si>
    <t>22dcc170-018e-11ed-9f07-513d1b72ec94</t>
  </si>
  <si>
    <t>13ec34d0-0197-11ed-9f07-513d1b72ec94</t>
  </si>
  <si>
    <t>1ab830e0-019f-11ed-9f07-513d1b72ec94</t>
  </si>
  <si>
    <t>4bcc2670-01a7-11ed-9f07-513d1b72ec94</t>
  </si>
  <si>
    <t>5bdc9e30-01ef-11ed-b3a8-a538cfaa8bda</t>
  </si>
  <si>
    <t>d9fe67d0-01f4-11ed-b3a8-a538cfaa8bda</t>
  </si>
  <si>
    <t>4b8fc3a0-01fd-11ed-b3a8-a538cfaa8bda</t>
  </si>
  <si>
    <t>f979e240-0205-11ed-b3a8-a538cfaa8bda</t>
  </si>
  <si>
    <t>7a0480a0-022e-11ed-8612-77753336537b</t>
  </si>
  <si>
    <t>a212a0a0-0237-11ed-8612-77753336537b</t>
  </si>
  <si>
    <t>8ee38320-0244-11ed-8612-77753336537b</t>
  </si>
  <si>
    <t>0e288520-024c-11ed-8612-77753336537b</t>
  </si>
  <si>
    <t>89604d30-025c-11ed-8612-77753336537b</t>
  </si>
  <si>
    <t>593404e0-048b-11ed-9320-0ff139ab4a2b</t>
  </si>
  <si>
    <t>7cb97a60-0492-11ed-9320-0ff139ab4a2b</t>
  </si>
  <si>
    <t>99dccda0-049b-11ed-9320-0ff139ab4a2b</t>
  </si>
  <si>
    <t>431b9400-04a1-11ed-9320-0ff139ab4a2b</t>
  </si>
  <si>
    <t>2ae75390-04ad-11ed-9320-0ff139ab4a2b</t>
  </si>
  <si>
    <t>2bb71b20-04b7-11ed-9320-0ff139ab4a2b</t>
  </si>
  <si>
    <t>17f4cd10-04be-11ed-9320-0ff139ab4a2b</t>
  </si>
  <si>
    <t>63a9d8d0-04c4-11ed-9320-0ff139ab4a2b</t>
  </si>
  <si>
    <t>a2c43300-04cc-11ed-9320-0ff139ab4a2b</t>
  </si>
  <si>
    <t>f75bbb90-04d6-11ed-9320-0ff139ab4a2b</t>
  </si>
  <si>
    <t>65081f90-04e0-11ed-9320-0ff139ab4a2b</t>
  </si>
  <si>
    <t>67c5f0f0-04e9-11ed-9320-0ff139ab4a2b</t>
  </si>
  <si>
    <t>b1fa93b0-04ee-11ed-9320-0ff139ab4a2b</t>
  </si>
  <si>
    <t>22c66780-04f5-11ed-969b-412a226b8578</t>
  </si>
  <si>
    <t>f79ec2c0-04fc-11ed-969b-412a226b8578</t>
  </si>
  <si>
    <t>46cb1e20-0507-11ed-969b-412a226b8578</t>
  </si>
  <si>
    <t>ed50f750-0512-11ed-969b-412a226b8578</t>
  </si>
  <si>
    <t>37ac6680-0519-11ed-969b-412a226b8578</t>
  </si>
  <si>
    <t>38b3dcb0-051f-11ed-969b-412a226b8578</t>
  </si>
  <si>
    <t>5d37e100-0527-11ed-969b-412a226b8578</t>
  </si>
  <si>
    <t>066c6e30-052d-11ed-969b-412a226b8578</t>
  </si>
  <si>
    <t>6b8127c0-0537-11ed-969b-412a226b8578</t>
  </si>
  <si>
    <t>b10d2d30-0540-11ed-969b-412a226b8578</t>
  </si>
  <si>
    <t>b763ea80-054e-11ed-af9f-e9548cd2fc2f</t>
  </si>
  <si>
    <t>2e28e8c0-0557-11ed-af9f-e9548cd2fc2f</t>
  </si>
  <si>
    <t>1bbf4ce0-055e-11ed-af9f-e9548cd2fc2f</t>
  </si>
  <si>
    <t>36ee78a0-0564-11ed-af9f-e9548cd2fc2f</t>
  </si>
  <si>
    <t>e9820d00-056a-11ed-af9f-e9548cd2fc2f</t>
  </si>
  <si>
    <t>234c6320-0573-11ed-af9f-e9548cd2fc2f</t>
  </si>
  <si>
    <t>294f7f00-057d-11ed-af9f-e9548cd2fc2f</t>
  </si>
  <si>
    <t>ef7de2a0-0584-11ed-af9f-e9548cd2fc2f</t>
  </si>
  <si>
    <t>6fcbbe90-058b-11ed-af9f-e9548cd2fc2f</t>
  </si>
  <si>
    <t>4b8da9a0-0593-11ed-af9f-e9548cd2fc2f</t>
  </si>
  <si>
    <t>c3a06f80-0599-11ed-af9f-e9548cd2fc2f</t>
  </si>
  <si>
    <t>e7af2750-05a2-11ed-af9f-e9548cd2fc2f</t>
  </si>
  <si>
    <t>afc98a30-05af-11ed-af9f-e9548cd2fc2f</t>
  </si>
  <si>
    <t>3745e3a0-05b5-11ed-af9f-e9548cd2fc2f</t>
  </si>
  <si>
    <t>82b6f6a0-05bd-11ed-af9f-e9548cd2fc2f</t>
  </si>
  <si>
    <t>2a564860-05c4-11ed-af9f-e9548cd2fc2f</t>
  </si>
  <si>
    <t>e476eda0-05cc-11ed-af9f-e9548cd2fc2f</t>
  </si>
  <si>
    <t>0ddb1d30-05d5-11ed-af9f-e9548cd2fc2f</t>
  </si>
  <si>
    <t>73ae4c20-05dc-11ed-af9f-e9548cd2fc2f</t>
  </si>
  <si>
    <t>fff24a50-05e2-11ed-af9f-e9548cd2fc2f</t>
  </si>
  <si>
    <t>e8979dd0-05ea-11ed-af9f-e9548cd2fc2f</t>
  </si>
  <si>
    <t>cb09a740-05f4-11ed-af9f-e9548cd2fc2f</t>
  </si>
  <si>
    <t>9ece71d0-060b-11ed-b37a-c939f19c1d65</t>
  </si>
  <si>
    <t>c9c743c0-0616-11ed-b37a-c939f19c1d65</t>
  </si>
  <si>
    <t>978f09c0-061f-11ed-b37a-c939f19c1d65</t>
  </si>
  <si>
    <t>1024c5d0-0627-11ed-b37a-c939f19c1d65</t>
  </si>
  <si>
    <t>b60d66e0-062d-11ed-b37a-c939f19c1d65</t>
  </si>
  <si>
    <t>e2b27420-0636-11ed-b37a-c939f19c1d65</t>
  </si>
  <si>
    <t>bc77e860-063d-11ed-b37a-c939f19c1d65</t>
  </si>
  <si>
    <t>102e5c90-0644-11ed-b37a-c939f19c1d65</t>
  </si>
  <si>
    <t>e783c5c0-064b-11ed-b37a-c939f19c1d65</t>
  </si>
  <si>
    <t>7b0eead0-0657-11ed-b37a-c939f19c1d65</t>
  </si>
  <si>
    <t>84265d80-065f-11ed-b37a-c939f19c1d65</t>
  </si>
  <si>
    <t>e319fcd0-0668-11ed-b37a-c939f19c1d65</t>
  </si>
  <si>
    <t>a56098f0-06b2-11ed-8271-e7ddc50f2310</t>
  </si>
  <si>
    <t>e90ea180-06b9-11ed-8271-e7ddc50f2310</t>
  </si>
  <si>
    <t>cd5cb360-06c2-11ed-8271-e7ddc50f2310</t>
  </si>
  <si>
    <t>4c86d730-06c6-11ed-8271-e7ddc50f2310</t>
  </si>
  <si>
    <t>fde391e0-06cf-11ed-8271-e7ddc50f2310</t>
  </si>
  <si>
    <t>c55a5400-06d7-11ed-8271-e7ddc50f2310</t>
  </si>
  <si>
    <t>8f6beca0-06dc-11ed-8271-e7ddc50f2310</t>
  </si>
  <si>
    <t>4ff4e850-0728-11ed-a823-b7c06ca34e80</t>
  </si>
  <si>
    <t>fce2e920-072f-11ed-a823-b7c06ca34e80</t>
  </si>
  <si>
    <t>5cfe7f80-07ae-11ed-be05-7d5483e753fd</t>
  </si>
  <si>
    <t>36176010-07b5-11ed-be05-7d5483e753fd</t>
  </si>
  <si>
    <t>5c2809c0-07bb-11ed-be05-7d5483e753fd</t>
  </si>
  <si>
    <t>0871c630-07c1-11ed-be05-7d5483e753fd</t>
  </si>
  <si>
    <t>dc95e210-07c7-11ed-be05-7d5483e753fd</t>
  </si>
  <si>
    <t>f304b4b0-07cf-11ed-be05-7d5483e753fd</t>
  </si>
  <si>
    <t>56d55580-07da-11ed-be05-7d5483e753fd</t>
  </si>
  <si>
    <t>edc390d0-07e7-11ed-be05-7d5483e753fd</t>
  </si>
  <si>
    <t>182162a0-07f0-11ed-be05-7d5483e753fd</t>
  </si>
  <si>
    <t>2da50dc0-07ff-11ed-be05-7d5483e753fd</t>
  </si>
  <si>
    <t>73941df0-080c-11ed-b14f-8313f3f3f11c</t>
  </si>
  <si>
    <t>3dc61d90-0816-11ed-b14f-8313f3f3f11c</t>
  </si>
  <si>
    <t>665079d0-081c-11ed-b14f-8313f3f3f11c</t>
  </si>
  <si>
    <t>378c90f0-0823-11ed-b14f-8313f3f3f11c</t>
  </si>
  <si>
    <t>baf07bf0-0828-11ed-b14f-8313f3f3f11c</t>
  </si>
  <si>
    <t>50ad7c80-0831-11ed-b14f-8313f3f3f11c</t>
  </si>
  <si>
    <t>ef702b90-0838-11ed-b14f-8313f3f3f11c</t>
  </si>
  <si>
    <t>75d88020-0842-11ed-b14f-8313f3f3f11c</t>
  </si>
  <si>
    <t>ec19c810-084d-11ed-b14f-8313f3f3f11c</t>
  </si>
  <si>
    <t>6d9c5e00-0855-11ed-b14f-8313f3f3f11c</t>
  </si>
  <si>
    <t>52f87290-0860-11ed-b14f-8313f3f3f11c</t>
  </si>
  <si>
    <t>5dd57720-0875-11ed-ae5d-83e90a63a48f</t>
  </si>
  <si>
    <t>57f503d0-087e-11ed-ae5d-83e90a63a48f</t>
  </si>
  <si>
    <t>93974e40-0886-11ed-ae5d-83e90a63a48f</t>
  </si>
  <si>
    <t>2e8d8170-088d-11ed-ae5d-83e90a63a48f</t>
  </si>
  <si>
    <t>c8c6fee0-0894-11ed-ae5d-83e90a63a48f</t>
  </si>
  <si>
    <t>6292d0f0-089d-11ed-ae5d-83e90a63a48f</t>
  </si>
  <si>
    <t>7559edc0-08a4-11ed-ae5d-83e90a63a48f</t>
  </si>
  <si>
    <t>da584b10-08ac-11ed-ae5d-83e90a63a48f</t>
  </si>
  <si>
    <t>c1aa1fb0-08b8-11ed-ae5d-83e90a63a48f</t>
  </si>
  <si>
    <t>77815840-08bd-11ed-ae5d-83e90a63a48f</t>
  </si>
  <si>
    <t>d2ea66b0-08c5-11ed-ae5d-83e90a63a48f</t>
  </si>
  <si>
    <t>11827180-08ce-11ed-ae5d-83e90a63a48f</t>
  </si>
  <si>
    <t>cb7c7bf0-08d6-11ed-ae5d-83e90a63a48f</t>
  </si>
  <si>
    <t>c376deb0-08df-11ed-ae5d-83e90a63a48f</t>
  </si>
  <si>
    <t>dee39dc0-08e7-11ed-ae5d-83e90a63a48f</t>
  </si>
  <si>
    <t>c4b0a720-08f3-11ed-ae5d-83e90a63a48f</t>
  </si>
  <si>
    <t>4b673830-08fc-11ed-ae5d-83e90a63a48f</t>
  </si>
  <si>
    <t>410fed50-0906-11ed-ae5d-83e90a63a48f</t>
  </si>
  <si>
    <t>b77fb4c0-0910-11ed-ae5d-83e90a63a48f</t>
  </si>
  <si>
    <t>9e3e1540-0917-11ed-ae5d-83e90a63a48f</t>
  </si>
  <si>
    <t>8c264d70-091f-11ed-ae5d-83e90a63a48f</t>
  </si>
  <si>
    <t>e7f8fa80-0924-11ed-ae5d-83e90a63a48f</t>
  </si>
  <si>
    <t>03fc5ed0-092e-11ed-ae5d-83e90a63a48f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</si>
  <si>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</si>
  <si>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</si>
  <si>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</si>
  <si>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</si>
  <si>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</si>
  <si>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</si>
  <si>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</si>
  <si>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</si>
  <si>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</si>
  <si>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</si>
  <si>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</si>
  <si>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</si>
  <si>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</si>
  <si>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</si>
  <si>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</si>
  <si>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</si>
  <si>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</si>
  <si>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</si>
  <si>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</si>
  <si>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</si>
  <si>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</si>
  <si>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</si>
  <si>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</si>
  <si>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</si>
  <si>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</si>
  <si>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</si>
  <si>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</si>
  <si>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</si>
  <si>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1ecab290-0a08-11ed-a8a8-4357fac37d87</t>
  </si>
  <si>
    <t>81755480-0a13-11ed-a8a8-4357fac37d87</t>
  </si>
  <si>
    <t>b9c93740-0a1b-11ed-a8a8-4357fac37d87</t>
  </si>
  <si>
    <t>9f00db40-0a23-11ed-a8a8-4357fac37d87</t>
  </si>
  <si>
    <t>d6074150-0a29-11ed-a8a8-4357fac37d87</t>
  </si>
  <si>
    <t>725f1570-0a32-11ed-a8a8-4357fac37d87</t>
  </si>
  <si>
    <t>caf777b0-0a3a-11ed-a8a8-4357fac37d87</t>
  </si>
  <si>
    <t>8b9b8600-0a45-11ed-a8a8-4357fac37d87</t>
  </si>
  <si>
    <t>dc2025c0-0a4c-11ed-a8a8-4357fac37d87</t>
  </si>
  <si>
    <t>d53afe90-0a53-11ed-a8a8-4357fac37d87</t>
  </si>
  <si>
    <t>c237a8d0-0a5c-11ed-a8a8-4357fac37d87</t>
  </si>
  <si>
    <t>45d95160-0a68-11ed-a8a8-4357fac37d87</t>
  </si>
  <si>
    <t>362d15e0-0a71-11ed-a8a8-4357fac37d87</t>
  </si>
  <si>
    <t>23b49070-0a79-11ed-a8a8-4357fac37d87</t>
  </si>
  <si>
    <t>3c995700-0a7f-11ed-a8a8-4357fac37d87</t>
  </si>
  <si>
    <t>64faf590-0a85-11ed-a8a8-4357fac37d87</t>
  </si>
  <si>
    <t>5d8f3fa0-0a94-11ed-a8a8-4357fac37d87</t>
  </si>
  <si>
    <t>d256cac0-0a9d-11ed-a8a8-4357fac37d87</t>
  </si>
  <si>
    <t>c8b2ee30-0aa3-11ed-a8a8-4357fac37d87</t>
  </si>
  <si>
    <t>13f9b250-0aab-11ed-a8a8-4357fac37d87</t>
  </si>
  <si>
    <t>4c13caf0-0ab4-11ed-a8a8-4357fac37d87</t>
  </si>
  <si>
    <t>9af832c0-0abc-11ed-a8a8-4357fac37d87</t>
  </si>
  <si>
    <t>19606fb0-0acc-11ed-a8a8-4357fac37d87</t>
  </si>
  <si>
    <t>42a653c0-0ad2-11ed-a8a8-4357fac37d87</t>
  </si>
  <si>
    <t>358c3c30-0ad8-11ed-a8a8-4357fac37d87</t>
  </si>
  <si>
    <t>39afb810-0ae1-11ed-a8a8-4357fac37d87</t>
  </si>
  <si>
    <t>52bb4080-0ae7-11ed-a8a8-4357fac37d87</t>
  </si>
  <si>
    <t>a2dc8a90-0aee-11ed-a8a8-4357fac37d87</t>
  </si>
  <si>
    <t>b6820400-0af6-11ed-a8a8-4357fac37d87</t>
  </si>
  <si>
    <t>928f5320-0b02-11ed-a8a8-4357fac37d87</t>
  </si>
  <si>
    <t>3e155f80-0b0a-11ed-a8a8-4357fac37d87</t>
  </si>
  <si>
    <t>21f3d190-0b11-11ed-a8a8-4357fac37d87</t>
  </si>
  <si>
    <t>2b6683a0-0b19-11ed-a8a8-4357fac37d87</t>
  </si>
  <si>
    <t>9c5d69a0-0b20-11ed-8a17-4d14313584e3</t>
  </si>
  <si>
    <t>37193670-0b28-11ed-8a17-4d14313584e3</t>
  </si>
  <si>
    <t>84407d90-0b33-11ed-8a17-4d14313584e3</t>
  </si>
  <si>
    <t>692c3bc0-0b4c-11ed-b23a-259965a0a5f5</t>
  </si>
  <si>
    <t>1e769640-0b54-11ed-b23a-259965a0a5f5</t>
  </si>
  <si>
    <t>9ee34f60-0b5b-11ed-b23a-259965a0a5f5</t>
  </si>
  <si>
    <t>c7817730-0b60-11ed-b23a-259965a0a5f5</t>
  </si>
  <si>
    <t>343423d0-0b68-11ed-b23a-259965a0a5f5</t>
  </si>
  <si>
    <t>4c2c7ca0-0b70-11ed-b23a-259965a0a5f5</t>
  </si>
  <si>
    <t>bcf32ae0-0b77-11ed-b23a-259965a0a5f5</t>
  </si>
  <si>
    <t>8ff4dd70-0b97-11ed-9e70-ad988bf9a2b2</t>
  </si>
  <si>
    <t>58d7c4a0-0b9d-11ed-9e70-ad988bf9a2b2</t>
  </si>
  <si>
    <t>2a3eedf0-0ba5-11ed-9e70-ad988bf9a2b2</t>
  </si>
  <si>
    <t>e20297c0-0baa-11ed-9e70-ad988bf9a2b2</t>
  </si>
  <si>
    <t>7fa8da50-0bb2-11ed-9e70-ad988bf9a2b2</t>
  </si>
  <si>
    <t>d3e79be0-0bb9-11ed-9e70-ad988bf9a2b2</t>
  </si>
  <si>
    <t>a4474370-0bc5-11ed-9e70-ad988bf9a2b2</t>
  </si>
  <si>
    <t>c9fcf480-0bce-11ed-9e70-ad988bf9a2b2</t>
  </si>
  <si>
    <t>a36426b0-0bd6-11ed-9e70-ad988bf9a2b2</t>
  </si>
  <si>
    <t>15c9b080-0be1-11ed-9e70-ad988bf9a2b2</t>
  </si>
  <si>
    <t>4c6bd250-0bee-11ed-9e70-ad988bf9a2b2</t>
  </si>
  <si>
    <t>1a6a6a50-0bf8-11ed-9e70-ad988bf9a2b2</t>
  </si>
  <si>
    <t>454c3930-0c00-11ed-9e70-ad988bf9a2b2</t>
  </si>
  <si>
    <t>18538880-0c09-11ed-9e70-ad988bf9a2b2</t>
  </si>
  <si>
    <t>d9c108b0-0c10-11ed-9e70-ad988bf9a2b2</t>
  </si>
  <si>
    <t>d29c9c50-0c1c-11ed-9e70-ad988bf9a2b2</t>
  </si>
  <si>
    <t>1e555190-0c23-11ed-9e70-ad988bf9a2b2</t>
  </si>
  <si>
    <t>86a6aa70-0c2b-11ed-9e70-ad988bf9a2b2</t>
  </si>
  <si>
    <t>2155e230-0c35-11ed-9e70-ad988bf9a2b2</t>
  </si>
  <si>
    <t>5fc94e00-0c3d-11ed-9e70-ad988bf9a2b2</t>
  </si>
  <si>
    <t>398166b0-0c42-11ed-9e70-ad988bf9a2b2</t>
  </si>
  <si>
    <t>774100f0-0c4c-11ed-9e70-ad988bf9a2b2</t>
  </si>
  <si>
    <t>12749b30-0c67-11ed-a359-09ccca826ef2</t>
  </si>
  <si>
    <t>c7b279f0-0c6b-11ed-a359-09ccca826ef2</t>
  </si>
  <si>
    <t>34b15550-0c74-11ed-a359-09ccca826ef2</t>
  </si>
  <si>
    <t>1e906f10-0c81-11ed-a359-09ccca826ef2</t>
  </si>
  <si>
    <t>44408230-0c87-11ed-a359-09ccca826ef2</t>
  </si>
  <si>
    <t>2f86edc0-0c8c-11ed-a359-09ccca826ef2</t>
  </si>
  <si>
    <t>37d33320-0c92-11ed-a359-09ccca826ef2</t>
  </si>
  <si>
    <t>52a62330-0c9a-11ed-a359-09ccca826ef2</t>
  </si>
  <si>
    <t>52896f40-0ca1-11ed-a359-09ccca826ef2</t>
  </si>
  <si>
    <t>7d5b3890-0ca9-11ed-a359-09ccca826ef2</t>
  </si>
  <si>
    <t>71265b70-0cb0-11ed-a359-09ccca826ef2</t>
  </si>
  <si>
    <t>0d0da130-0cbe-11ed-a359-09ccca826ef2</t>
  </si>
  <si>
    <t>42b63a10-0cc6-11ed-a359-09ccca826ef2</t>
  </si>
  <si>
    <t>f7ed8c50-0cce-11ed-a359-09ccca826ef2</t>
  </si>
  <si>
    <t>d1835a80-0cd4-11ed-a359-09ccca826ef2</t>
  </si>
  <si>
    <t>64989d30-0ce9-11ed-8983-2dda122399ea</t>
  </si>
  <si>
    <t>5eed91c0-0cf2-11ed-8983-2dda122399ea</t>
  </si>
  <si>
    <t>cd8e1cf0-0cff-11ed-8983-2dda122399ea</t>
  </si>
  <si>
    <t>5489b0d0-0d09-11ed-8983-2dda122399ea</t>
  </si>
  <si>
    <t>68f08a30-0d2c-11ed-a69b-5fd28ee60112</t>
  </si>
  <si>
    <t>d52656f0-0d39-11ed-a69b-5fd28ee60112</t>
  </si>
  <si>
    <t>c6509360-0d44-11ed-a69b-5fd28ee60112</t>
  </si>
  <si>
    <t>acdafdb0-0d6e-11ed-acc3-2dab7b7d28ed</t>
  </si>
  <si>
    <t>a32203c0-0d7a-11ed-acc3-2dab7b7d28ed</t>
  </si>
  <si>
    <t>eaca86f0-0d8b-11ed-a1d1-d1adcb9bba19</t>
  </si>
  <si>
    <t>f489d260-0d93-11ed-a1d1-d1adcb9bba19</t>
  </si>
  <si>
    <t>735d5870-0d9c-11ed-a1d1-d1adcb9bba19</t>
  </si>
  <si>
    <t>ed1b7d00-0da5-11ed-a1d1-d1adcb9bba19</t>
  </si>
  <si>
    <t>386822a0-0daf-11ed-a1d1-d1adcb9bba19</t>
  </si>
  <si>
    <t>62bf64c0-0db7-11ed-a1d1-d1adcb9bba19</t>
  </si>
  <si>
    <t>c7eb88d0-0dbf-11ed-a1d1-d1adcb9bba19</t>
  </si>
  <si>
    <t>cf5df8e0-0dd9-11ed-a1d1-d1adcb9bba19</t>
  </si>
  <si>
    <t>0d504570-0df0-11ed-8e6b-619e831cba27</t>
  </si>
  <si>
    <t>b77d2a70-0df7-11ed-8e6b-619e831cba27</t>
  </si>
  <si>
    <t>70a43800-0e01-11ed-8e6b-619e831cba27</t>
  </si>
  <si>
    <t>f0bd07f0-0e0c-11ed-8e6b-619e831cba27</t>
  </si>
  <si>
    <t>e052be80-0e13-11ed-8e6b-619e831cba27</t>
  </si>
  <si>
    <t>fd651740-0e1b-11ed-8e6b-619e831cba27</t>
  </si>
  <si>
    <t>e8322230-0e22-11ed-8e6b-619e831cba27</t>
  </si>
  <si>
    <t>f1628500-0e33-11ed-8d1c-8f4a0a1f6fc3</t>
  </si>
  <si>
    <t>25cb7c80-0e3d-11ed-8d1c-8f4a0a1f6fc3</t>
  </si>
  <si>
    <t>b40b9170-0e46-11ed-8d1c-8f4a0a1f6fc3</t>
  </si>
  <si>
    <t>7f9c84d0-0e50-11ed-8d1c-8f4a0a1f6fc3</t>
  </si>
  <si>
    <t>dfc39080-0e58-11ed-8d1c-8f4a0a1f6fc3</t>
  </si>
  <si>
    <t>60d267f0-0e5e-11ed-8d1c-8f4a0a1f6fc3</t>
  </si>
  <si>
    <t>27a17860-0e66-11ed-8d1c-8f4a0a1f6fc3</t>
  </si>
  <si>
    <t>31893df0-0e6f-11ed-8d1c-8f4a0a1f6fc3</t>
  </si>
  <si>
    <t>4a943f40-0e77-11ed-8d1c-8f4a0a1f6fc3</t>
  </si>
  <si>
    <t>937240c0-0e7e-11ed-8d1c-8f4a0a1f6fc3</t>
  </si>
  <si>
    <t>6016adb0-0e8d-11ed-8d1c-8f4a0a1f6fc3</t>
  </si>
  <si>
    <t>49c97cf0-0ebe-11ed-b21e-eb9566b61387</t>
  </si>
  <si>
    <t>a02b96e0-0ec9-11ed-b21e-eb9566b61387</t>
  </si>
  <si>
    <t>c135c8a0-0ecf-11ed-b21e-eb9566b61387</t>
  </si>
  <si>
    <t>a10d9c00-0ed5-11ed-b21e-eb9566b61387</t>
  </si>
  <si>
    <t>7e105660-0edb-11ed-b21e-eb9566b61387</t>
  </si>
  <si>
    <t>9b913d80-0ee5-11ed-b21e-eb9566b61387</t>
  </si>
  <si>
    <t>d05d6b00-0eeb-11ed-b21e-eb9566b61387</t>
  </si>
  <si>
    <t>22ea0530-0ef2-11ed-b21e-eb9566b61387</t>
  </si>
  <si>
    <t>b5c73e60-0efa-11ed-b21e-eb9566b61387</t>
  </si>
  <si>
    <t>593ad5e0-0f03-11ed-b21e-eb9566b61387</t>
  </si>
  <si>
    <t>449bbc60-0f0a-11ed-b21e-eb9566b61387</t>
  </si>
  <si>
    <t>63302bd0-0f13-11ed-b21e-eb9566b61387</t>
  </si>
  <si>
    <t>b929d940-0f19-11ed-b21e-eb9566b61387</t>
  </si>
  <si>
    <t>9acade70-0f20-11ed-b21e-eb9566b61387</t>
  </si>
  <si>
    <t>8f769d50-0f27-11ed-b21e-eb9566b61387</t>
  </si>
  <si>
    <t>d9ae9b70-0f2c-11ed-b21e-eb9566b61387</t>
  </si>
  <si>
    <t>3d13cc10-0f3e-11ed-b21e-eb9566b61387</t>
  </si>
  <si>
    <t>9e6c9670-0f45-11ed-b21e-eb9566b61387</t>
  </si>
  <si>
    <t>cf5635c0-0f4f-11ed-b21e-eb9566b61387</t>
  </si>
  <si>
    <t>f07e4100-0f5b-11ed-b21e-eb9566b61387</t>
  </si>
  <si>
    <t>c0c5fe50-0f68-11ed-b21e-eb9566b61387</t>
  </si>
  <si>
    <t>b90926b0-0f6d-11ed-b21e-eb9566b61387</t>
  </si>
  <si>
    <t>05d1a8d0-0f75-11ed-b21e-eb9566b61387</t>
  </si>
  <si>
    <t>77f82aa0-0f7b-11ed-b21e-eb9566b61387</t>
  </si>
  <si>
    <t>4778a480-0f81-11ed-b21e-eb9566b61387</t>
  </si>
  <si>
    <t>552e1b40-0f87-11ed-b21e-eb9566b61387</t>
  </si>
  <si>
    <t>3d23bbe0-0f91-11ed-b21e-eb9566b61387</t>
  </si>
  <si>
    <t>a76b1860-0f99-11ed-b21e-eb9566b61387</t>
  </si>
  <si>
    <t>de8b6480-0f9e-11ed-b21e-eb9566b61387</t>
  </si>
  <si>
    <t>05921c10-0fa7-11ed-b21e-eb9566b61387</t>
  </si>
  <si>
    <t>5d9a3a50-0fb1-11ed-b21e-eb9566b61387</t>
  </si>
  <si>
    <t>2deea600-0fb7-11ed-b21e-eb9566b61387</t>
  </si>
  <si>
    <t>e5106320-0fbf-11ed-b21e-eb9566b61387</t>
  </si>
  <si>
    <t>a0a1e860-0fc6-11ed-b21e-eb9566b61387</t>
  </si>
  <si>
    <t>4f00e7e0-0fda-11ed-8a2b-d702e286128c</t>
  </si>
  <si>
    <t>ad2a1d30-0fe1-11ed-8a2b-d702e286128c</t>
  </si>
  <si>
    <t>6ee99880-0fea-11ed-8a2b-d702e286128c</t>
  </si>
  <si>
    <t>dc483200-0ff0-11ed-8a2b-d702e286128c</t>
  </si>
  <si>
    <t>2b6f8bb0-0ff8-11ed-8a2b-d702e286128c</t>
  </si>
  <si>
    <t>554f7060-0fff-11ed-8a2b-d702e286128c</t>
  </si>
  <si>
    <t>7ec2f420-1005-11ed-8a2b-d702e286128c</t>
  </si>
  <si>
    <t>2653aa70-100d-11ed-8a2b-d702e286128c</t>
  </si>
  <si>
    <t>7e982ae0-1016-11ed-9e10-c3bd3229ef99</t>
  </si>
  <si>
    <t>5fbfb2f0-1020-11ed-9e10-c3bd3229ef99</t>
  </si>
  <si>
    <t>2af2a7d0-102a-11ed-9e10-c3bd3229ef99</t>
  </si>
  <si>
    <t>242eeb50-1031-11ed-9e10-c3bd3229ef99</t>
  </si>
  <si>
    <t>05b49a20-1055-11ed-92e3-e504708f72dc</t>
  </si>
  <si>
    <t>70847270-105b-11ed-92e3-e504708f72dc</t>
  </si>
  <si>
    <t>1f4e1110-1063-11ed-92e3-e504708f72dc</t>
  </si>
  <si>
    <t>2cbaf700-1072-11ed-92e3-e504708f72dc</t>
  </si>
  <si>
    <t>5200a830-107b-11ed-92e3-e504708f72dc</t>
  </si>
  <si>
    <t>e6148210-1082-11ed-92e3-e504708f72dc</t>
  </si>
  <si>
    <t>907e0cd0-1088-11ed-92e3-e504708f72dc</t>
  </si>
  <si>
    <t>d011eeb0-108e-11ed-92e3-e504708f72dc</t>
  </si>
  <si>
    <t>d5af7ce0-1096-11ed-92e3-e504708f72dc</t>
  </si>
  <si>
    <t>fee035d0-109d-11ed-92e3-e504708f72dc</t>
  </si>
  <si>
    <t>072627b0-10a6-11ed-92e3-e504708f72dc</t>
  </si>
  <si>
    <t>260ebc80-10ad-11ed-92e3-e504708f72dc</t>
  </si>
  <si>
    <t>00109d80-10b4-11ed-92e3-e504708f72dc</t>
  </si>
  <si>
    <t>2be19940-10ba-11ed-92e3-e504708f72dc</t>
  </si>
  <si>
    <t>13288ab0-10c1-11ed-92e3-e504708f72dc</t>
  </si>
  <si>
    <t>94766a20-10ca-11ed-92e3-e504708f72dc</t>
  </si>
  <si>
    <t>64da7b50-10d2-11ed-92e3-e504708f72dc</t>
  </si>
  <si>
    <t>f1a0be50-10d7-11ed-92e3-e504708f72dc</t>
  </si>
  <si>
    <t>82a857b0-10e1-11ed-92e3-e504708f72dc</t>
  </si>
  <si>
    <t>f282bc10-10e6-11ed-92e3-e504708f72dc</t>
  </si>
  <si>
    <t>41c62940-10ee-11ed-92e3-e504708f72dc</t>
  </si>
  <si>
    <t>c649fbd0-10f6-11ed-92e3-e504708f72dc</t>
  </si>
  <si>
    <t>81564b80-10fd-11ed-92e3-e504708f72dc</t>
  </si>
  <si>
    <t>76fed460-1119-11ed-af51-13914062211c</t>
  </si>
  <si>
    <t>b6dc0200-1124-11ed-af51-13914062211c</t>
  </si>
  <si>
    <t>9521d8d0-112c-11ed-af51-13914062211c</t>
  </si>
  <si>
    <t>23ce4420-1136-11ed-af51-13914062211c</t>
  </si>
  <si>
    <t>190dd860-115a-11ed-98c5-5be90c51adc4</t>
  </si>
  <si>
    <t>b8ee0890-1165-11ed-98c5-5be90c51adc4</t>
  </si>
  <si>
    <t>1bdfd690-117a-11ed-a330-35e2b54a1cbc</t>
  </si>
  <si>
    <t>541f7560-117f-11ed-a330-35e2b54a1cbc</t>
  </si>
  <si>
    <t>14db1ca0-1185-11ed-a330-35e2b54a1cbc</t>
  </si>
  <si>
    <t>33b6cb10-118a-11ed-a330-35e2b54a1cbc</t>
  </si>
  <si>
    <t>cb9288c0-1199-11ed-a330-35e2b54a1cbc</t>
  </si>
  <si>
    <t>64aec140-119f-11ed-a330-35e2b54a1cbc</t>
  </si>
  <si>
    <t>64ad5620-11a9-11ed-a330-35e2b54a1cbc</t>
  </si>
  <si>
    <t>6f71ee80-11af-11ed-a330-35e2b54a1cbc</t>
  </si>
  <si>
    <t>51dc3a50-11ba-11ed-a330-35e2b54a1cbc</t>
  </si>
  <si>
    <t>e3a21010-11c2-11ed-a330-35e2b54a1cbc</t>
  </si>
  <si>
    <t>f5d98520-11cb-11ed-a330-35e2b54a1cbc</t>
  </si>
  <si>
    <t>6d9de770-11d3-11ed-a330-35e2b54a1cbc</t>
  </si>
  <si>
    <t>86c092a0-11df-11ed-a330-35e2b54a1cbc</t>
  </si>
  <si>
    <t>19b2d310-11eb-11ed-a330-35e2b54a1cbc</t>
  </si>
  <si>
    <t>5e40f7e0-11f1-11ed-a330-35e2b54a1cbc</t>
  </si>
  <si>
    <t>af3704d0-11fd-11ed-a330-35e2b54a1cbc</t>
  </si>
  <si>
    <t>73e32020-1203-11ed-a330-35e2b54a1cbc</t>
  </si>
  <si>
    <t>1e2a2000-120f-11ed-a330-35e2b54a1cbc</t>
  </si>
  <si>
    <t>cf434960-1215-11ed-a330-35e2b54a1cbc</t>
  </si>
  <si>
    <t>54882200-121e-11ed-a330-35e2b54a1cbc</t>
  </si>
  <si>
    <t>0fd74930-12f8-11ed-ad9b-13892e60673a</t>
  </si>
  <si>
    <t>e0a3e030-12ff-11ed-ad9b-13892e60673a</t>
  </si>
  <si>
    <t>b30216e0-130b-11ed-ad9b-13892e60673a</t>
  </si>
  <si>
    <t>1131ce20-130e-11ed-ad9b-13892e60673a</t>
  </si>
  <si>
    <t>0ac5e080-1313-11ed-b462-23a778819d7e</t>
  </si>
  <si>
    <t>edca29c0-131a-11ed-b462-23a778819d7e</t>
  </si>
  <si>
    <t>4ba3b540-131e-11ed-b462-23a778819d7e</t>
  </si>
  <si>
    <t>eefda710-1322-11ed-b462-23a778819d7e</t>
  </si>
  <si>
    <t>076c9e30-1325-11ed-b462-23a778819d7e</t>
  </si>
  <si>
    <t>159a3280-1328-11ed-b462-23a778819d7e</t>
  </si>
  <si>
    <t>22b93270-132a-11ed-b462-23a778819d7e</t>
  </si>
  <si>
    <t>9cbcb6b0-132e-11ed-b462-23a778819d7e</t>
  </si>
  <si>
    <t>668e8e90-1330-11ed-b462-23a778819d7e</t>
  </si>
  <si>
    <t>ac412110-1334-11ed-b462-23a778819d7e</t>
  </si>
  <si>
    <t>255f7cd0-1336-11ed-b462-23a778819d7e</t>
  </si>
  <si>
    <t>8aac5700-1338-11ed-b462-23a778819d7e</t>
  </si>
  <si>
    <t>3a3c6c30-133b-11ed-b462-23a778819d7e</t>
  </si>
  <si>
    <t>47cc60f0-133e-11ed-b462-23a778819d7e</t>
  </si>
  <si>
    <t>624c36b0-1340-11ed-b462-23a778819d7e</t>
  </si>
  <si>
    <t>96d50be0-1341-11ed-b462-23a778819d7e</t>
  </si>
  <si>
    <t>d0a66b10-1342-11ed-b462-23a778819d7e</t>
  </si>
  <si>
    <t>3fd17970-1344-11ed-b462-23a778819d7e</t>
  </si>
  <si>
    <t>1a454860-1346-11ed-b462-23a778819d7e</t>
  </si>
  <si>
    <t>5fb66c70-1347-11ed-b462-23a778819d7e</t>
  </si>
  <si>
    <t>3ea3c020-134a-11ed-b462-23a778819d7e</t>
  </si>
  <si>
    <t>c76e8f60-134b-11ed-b462-23a778819d7e</t>
  </si>
  <si>
    <t>7f89af60-134e-11ed-b462-23a778819d7e</t>
  </si>
  <si>
    <t>5bd97f60-1352-11ed-b462-23a778819d7e</t>
  </si>
  <si>
    <t>404931c0-1355-11ed-ad59-8f2465277916</t>
  </si>
  <si>
    <t>430c7a00-1361-11ed-ad59-8f2465277916</t>
  </si>
  <si>
    <t>73dc5e80-1365-11ed-ad59-8f2465277916</t>
  </si>
  <si>
    <t>a0da5d00-1375-11ed-bd7d-31cc87d5a7c0</t>
  </si>
  <si>
    <t>426bd5c0-1378-11ed-bd7d-31cc87d5a7c0</t>
  </si>
  <si>
    <t>b9e82f60-137b-11ed-bd7d-31cc87d5a7c0</t>
  </si>
  <si>
    <t>55853140-137f-11ed-bd7d-31cc87d5a7c0</t>
  </si>
  <si>
    <t>90bae5f0-1381-11ed-bd7d-31cc87d5a7c0</t>
  </si>
  <si>
    <t>f40846a0-1383-11ed-bd7d-31cc87d5a7c0</t>
  </si>
  <si>
    <t>12d07470-1386-11ed-bd7d-31cc87d5a7c0</t>
  </si>
  <si>
    <t>fef141d0-1387-11ed-bd7d-31cc87d5a7c0</t>
  </si>
  <si>
    <t>c90e2c70-1389-11ed-bd7d-31cc87d5a7c0</t>
  </si>
  <si>
    <t>e0b76290-138b-11ed-bd7d-31cc87d5a7c0</t>
  </si>
  <si>
    <t>5fdb7dd0-138d-11ed-bd7d-31cc87d5a7c0</t>
  </si>
  <si>
    <t>d1204470-138e-11ed-bd7d-31cc87d5a7c0</t>
  </si>
  <si>
    <t>344bc540-1391-11ed-bd7d-31cc87d5a7c0</t>
  </si>
  <si>
    <t>ec5c36e0-1393-11ed-bd7d-31cc87d5a7c0</t>
  </si>
  <si>
    <t>bc66f6c0-1396-11ed-bd7d-31cc87d5a7c0</t>
  </si>
  <si>
    <t>8517f550-1398-11ed-bd7d-31cc87d5a7c0</t>
  </si>
  <si>
    <t>20e86aa0-1399-11ed-bd7d-31cc87d5a7c0</t>
  </si>
  <si>
    <t>4fbd22c0-139a-11ed-bd7d-31cc87d5a7c0</t>
  </si>
  <si>
    <t>001697e0-139c-11ed-bd7d-31cc87d5a7c0</t>
  </si>
  <si>
    <t>f7ae6510-13a0-11ed-bd7d-31cc87d5a7c0</t>
  </si>
  <si>
    <t>83ef04b0-13a3-11ed-bd7d-31cc87d5a7c0</t>
  </si>
  <si>
    <t>e95b74d0-13a5-11ed-bd7d-31cc87d5a7c0</t>
  </si>
  <si>
    <t>57c51280-13a8-11ed-bd7d-31cc87d5a7c0</t>
  </si>
  <si>
    <t>e70ed370-13aa-11ed-bd7d-31cc87d5a7c0</t>
  </si>
  <si>
    <t>ddf4d240-13ae-11ed-bd7d-31cc87d5a7c0</t>
  </si>
  <si>
    <t>ea7980a0-13f5-11ed-8e23-e745b0731ea6</t>
  </si>
  <si>
    <t>Scenario 3</t>
  </si>
  <si>
    <t>cb47f6c0-1400-11ed-8e23-e745b0731ea6</t>
  </si>
  <si>
    <t>16625b10-1405-11ed-8e23-e745b0731ea6</t>
  </si>
  <si>
    <t>ed15a5f0-140e-11ed-8e23-e745b0731ea6</t>
  </si>
  <si>
    <t>69aa62c0-141b-11ed-8e23-e745b0731ea6</t>
  </si>
  <si>
    <t>94a58890-147c-11ed-af38-d9534a7c6e6c</t>
  </si>
  <si>
    <t>47048950-148c-11ed-af38-d9534a7c6e6c</t>
  </si>
  <si>
    <t>846b15d0-1490-11ed-af38-d9534a7c6e6c</t>
  </si>
  <si>
    <t>7e2b0840-1497-11ed-af38-d9534a7c6e6c</t>
  </si>
  <si>
    <t>20522290-14a0-11ed-af38-d9534a7c6e6c</t>
  </si>
  <si>
    <t>b7be7210-14ae-11ed-af38-d9534a7c6e6c</t>
  </si>
  <si>
    <t>108dd4c0-14b5-11ed-af38-d9534a7c6e6c</t>
  </si>
  <si>
    <t>4a7258e0-14d9-11ed-9c3f-c3e2d22dce34</t>
  </si>
  <si>
    <t>24660f70-14e8-11ed-b1c8-37a18a5109f1</t>
  </si>
  <si>
    <t>5976f900-14ec-11ed-b1c8-37a18a5109f1</t>
  </si>
  <si>
    <t>d3bf51a0-14f4-11ed-b1c8-37a18a5109f1</t>
  </si>
  <si>
    <t>b6072480-1503-11ed-b1c8-37a18a5109f1</t>
  </si>
  <si>
    <t>e4413ec0-150e-11ed-b1c8-37a18a5109f1</t>
  </si>
  <si>
    <t>a746ae20-1544-11ed-baf1-6598ce98ace4</t>
  </si>
  <si>
    <t>4ec83220-1560-11ed-acdd-598622e312ee</t>
  </si>
  <si>
    <t>e74f32b0-1569-11ed-acdd-598622e312ee</t>
  </si>
  <si>
    <t>fef138b0-1572-11ed-acdd-598622e312ee</t>
  </si>
  <si>
    <t>2c632520-1577-11ed-acdd-598622e312ee</t>
  </si>
  <si>
    <t>56eba5e0-157e-11ed-acdd-598622e312ee</t>
  </si>
  <si>
    <t>349bf040-1582-11ed-acdd-598622e312ee</t>
  </si>
  <si>
    <t>9fbebad0-1599-11ed-bb70-8b461ef16ec7</t>
  </si>
  <si>
    <t>33099f60-15a1-11ed-bb70-8b461ef16ec7</t>
  </si>
  <si>
    <t>88b470e0-15a4-11ed-bb70-8b461ef16ec7</t>
  </si>
  <si>
    <t>404e99b0-15aa-11ed-bb70-8b461ef16ec7</t>
  </si>
  <si>
    <t>461b7ca0-15af-11ed-bb70-8b461ef16ec7</t>
  </si>
  <si>
    <t>f12c79e0-15d3-11ed-b91c-5d112496d5d2</t>
  </si>
  <si>
    <t>858fd020-15d7-11ed-b91c-5d112496d5d2</t>
  </si>
  <si>
    <t>1eb0dbe0-15e3-11ed-b91c-5d112496d5d2</t>
  </si>
  <si>
    <t>872e3be0-15ed-11ed-b91c-5d112496d5d2</t>
  </si>
  <si>
    <t>e9d3ee10-15f3-11ed-b91c-5d112496d5d2</t>
  </si>
  <si>
    <t>01be8710-1603-11ed-b91c-5d112496d5d2</t>
  </si>
  <si>
    <t>725b6b90-161d-11ed-b91c-5d112496d5d2</t>
  </si>
  <si>
    <t>c763a990-1622-11ed-b91c-5d112496d5d2</t>
  </si>
  <si>
    <t>4bc36440-1629-11ed-b91c-5d112496d5d2</t>
  </si>
  <si>
    <t>5d845bb0-1630-11ed-b91c-5d112496d5d2</t>
  </si>
  <si>
    <t>e4af2f30-1634-11ed-b91c-5d112496d5d2</t>
  </si>
  <si>
    <t>e0da2b00-1637-11ed-b91c-5d112496d5d2</t>
  </si>
  <si>
    <t>e1be99c0-1646-11ed-b91c-5d112496d5d2</t>
  </si>
  <si>
    <t>84a4d370-1651-11ed-b91c-5d112496d5d2</t>
  </si>
  <si>
    <t>a1f28780-1659-11ed-b91c-5d112496d5d2</t>
  </si>
  <si>
    <t>b739bf80-1660-11ed-b91c-5d112496d5d2</t>
  </si>
  <si>
    <t>fad1d240-166b-11ed-b91c-5d112496d5d2</t>
  </si>
  <si>
    <t>57f2e330-166f-11ed-b91c-5d112496d5d2</t>
  </si>
  <si>
    <t>0e2c4ae0-1672-11ed-b91c-5d112496d5d2</t>
  </si>
  <si>
    <t>cab5c4b0-1678-11ed-b91c-5d112496d5d2</t>
  </si>
  <si>
    <t>cdac4000-1686-11ed-b7d6-b72530e35195</t>
  </si>
  <si>
    <t>d6c3a720-1698-11ed-960f-91f630b184f6</t>
  </si>
  <si>
    <t>0239d8b0-169f-11ed-960f-91f630b184f6</t>
  </si>
  <si>
    <t>5c3e0750-16a4-11ed-960f-91f630b184f6</t>
  </si>
  <si>
    <t>a5754930-16a7-11ed-960f-91f630b184f6</t>
  </si>
  <si>
    <t>d5645480-16b4-11ed-960f-91f630b184f6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</si>
  <si>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</si>
  <si>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</si>
  <si>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</si>
  <si>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</si>
  <si>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</si>
  <si>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</si>
  <si>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</si>
  <si>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</si>
  <si>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363a4ff0-16e0-11ed-985c-514e22d9e363</t>
  </si>
  <si>
    <t>team-4-win</t>
  </si>
  <si>
    <t>Scenario 4</t>
  </si>
  <si>
    <t>0d666260-16ec-11ed-985c-514e22d9e363</t>
  </si>
  <si>
    <t>cb4ba630-16f3-11ed-985c-514e22d9e363</t>
  </si>
  <si>
    <t>ab53db90-16fd-11ed-985c-514e22d9e363</t>
  </si>
  <si>
    <t>7e986150-170e-11ed-985c-514e22d9e363</t>
  </si>
  <si>
    <t>8c06cab0-1719-11ed-985c-514e22d9e363</t>
  </si>
  <si>
    <t>f11bc7d0-1722-11ed-985c-514e22d9e363</t>
  </si>
  <si>
    <t>f9afc390-1733-11ed-985c-514e22d9e363</t>
  </si>
  <si>
    <t>da12ccb0-1749-11ed-8316-d755313d06d6</t>
  </si>
  <si>
    <t>121d64e0-1767-11ed-b2f0-fb8cd81fa237</t>
  </si>
  <si>
    <t>f3ecb3c0-1772-11ed-b2f0-fb8cd81fa237</t>
  </si>
  <si>
    <t>34bf9690-177f-11ed-b2f0-fb8cd81fa237</t>
  </si>
  <si>
    <t>cba5b660-179e-11ed-9940-d300f579115d</t>
  </si>
  <si>
    <t>1fc2ac30-17b3-11ed-9940-d300f579115d</t>
  </si>
  <si>
    <t>93a08150-17c1-11ed-9940-d300f579115d</t>
  </si>
  <si>
    <t>eb8bcf20-17d3-11ed-9940-d300f579115d</t>
  </si>
  <si>
    <t>24924390-17dd-11ed-9940-d300f579115d</t>
  </si>
  <si>
    <t>7cd58eb0-17ea-11ed-9940-d300f579115d</t>
  </si>
  <si>
    <t>c6c66950-17fd-11ed-9940-d300f579115d</t>
  </si>
  <si>
    <t>d4005860-180c-11ed-9940-d300f579115d</t>
  </si>
  <si>
    <t>1bd66a50-1815-11ed-9940-d300f579115d</t>
  </si>
  <si>
    <t>59edcc70-186a-11ed-9ed0-b9e1b471fcf3</t>
  </si>
  <si>
    <t>2ceff630-1874-11ed-9ed0-b9e1b471fcf3</t>
  </si>
  <si>
    <t>858b2fe0-1882-11ed-9ed0-b9e1b471fcf3</t>
  </si>
  <si>
    <t>f50bc460-189b-11ed-a81d-f9c35d9b334a</t>
  </si>
  <si>
    <t>a407b640-18a6-11ed-a81d-f9c35d9b334a</t>
  </si>
  <si>
    <t>c2bdfb00-18ae-11ed-a81d-f9c35d9b334a</t>
  </si>
  <si>
    <t>c034e7b0-18c5-11ed-8284-1ffb052f40c8</t>
  </si>
  <si>
    <t>275576d0-18d0-11ed-8284-1ffb052f40c8</t>
  </si>
  <si>
    <t>25d38f20-193b-11ed-9182-957a57628f07</t>
  </si>
  <si>
    <t>4f2af800-1944-11ed-9182-957a57628f07</t>
  </si>
  <si>
    <t>bc8643e0-194f-11ed-9182-957a57628f07</t>
  </si>
  <si>
    <t>c3e12360-1960-11ed-9182-957a57628f07</t>
  </si>
  <si>
    <t>b70cc660-1971-11ed-9182-957a57628f07</t>
  </si>
  <si>
    <t>2c5d36f0-1983-11ed-ac68-6352c283181e</t>
  </si>
  <si>
    <t>091c6890-199d-11ed-ac68-6352c283181e</t>
  </si>
  <si>
    <t>864fac20-19a5-11ed-ac68-6352c283181e</t>
  </si>
  <si>
    <t>eeaf6cd0-19c1-11ed-bcf9-f16e6c7de596</t>
  </si>
  <si>
    <t>c1a5e8b0-19c9-11ed-bcf9-f16e6c7de596</t>
  </si>
  <si>
    <t>3775a6f0-19d1-11ed-bcf9-f16e6c7de596</t>
  </si>
  <si>
    <t>418482e0-19e2-11ed-bcf9-f16e6c7de596</t>
  </si>
  <si>
    <t>6f5fd1f0-1a06-11ed-8b1f-f10109666e5a</t>
  </si>
  <si>
    <t>1cef6d20-1a12-11ed-8b1f-f10109666e5a</t>
  </si>
  <si>
    <t>e97065d0-1a1b-11ed-8b1f-f10109666e5a</t>
  </si>
  <si>
    <t>d02efe50-1a2b-11ed-8b1f-f10109666e5a</t>
  </si>
  <si>
    <t>818559f0-1a41-11ed-aad7-052c25eca09e</t>
  </si>
  <si>
    <t>0bf88fc0-1a48-11ed-aad7-052c25eca09e</t>
  </si>
  <si>
    <t>21098aa0-1a51-11ed-aad7-052c25eca09e</t>
  </si>
  <si>
    <t>91925aa0-1a5a-11ed-aad7-052c25eca09e</t>
  </si>
  <si>
    <t>0755f900-1a64-11ed-9f0c-7b0b384d6231</t>
  </si>
  <si>
    <t>8dd8c880-1a6f-11ed-9f0c-7b0b384d6231</t>
  </si>
  <si>
    <t>c89b06a0-1a8c-11ed-bb76-0173698b682f</t>
  </si>
  <si>
    <t>e2983ab0-1a95-11ed-bb76-0173698b682f</t>
  </si>
  <si>
    <t>f6f4a0b0-1aa0-11ed-bb76-0173698b682f</t>
  </si>
  <si>
    <t>b53aff30-1ac7-11ed-b205-d1de162950dc</t>
  </si>
  <si>
    <t>09ec6dd0-1ad1-11ed-b205-d1de162950dc</t>
  </si>
  <si>
    <t>e6b17100-1ad8-11ed-b205-d1de162950dc</t>
  </si>
  <si>
    <t>4cfcb950-1ae4-11ed-b205-d1de162950dc</t>
  </si>
  <si>
    <t>21300ce0-1aea-11ed-b205-d1de162950dc</t>
  </si>
  <si>
    <t>10723a50-1af3-11ed-b205-d1de162950dc</t>
  </si>
  <si>
    <t>14636620-1afd-11ed-b205-d1de162950dc</t>
  </si>
  <si>
    <t>681eca10-1b08-11ed-a4d3-d96589b6dbf9</t>
  </si>
  <si>
    <t>c7fec200-1b0d-11ed-a4d3-d96589b6dbf9</t>
  </si>
  <si>
    <t>407492a0-1b18-11ed-a4d3-d96589b6dbf9</t>
  </si>
  <si>
    <t>57a2a380-1b55-11ed-9430-89efc596a47b</t>
  </si>
  <si>
    <t>e839bb40-1b73-11ed-9430-89efc596a47b</t>
  </si>
  <si>
    <t>90779e50-1b77-11ed-9430-89efc596a47b</t>
  </si>
  <si>
    <t>487f1d00-1b7f-11ed-9430-89efc596a47b</t>
  </si>
  <si>
    <t>b4c5c160-1b86-11ed-9430-89efc596a47b</t>
  </si>
  <si>
    <t>0e81b4b0-1b92-11ed-9430-89efc596a47b</t>
  </si>
  <si>
    <t>1a7c4d50-1b9e-11ed-bb95-4729c94c2637</t>
  </si>
  <si>
    <t>eac1ba50-1ba2-11ed-bb95-4729c94c2637</t>
  </si>
  <si>
    <t>Scenario 5</t>
  </si>
  <si>
    <t>53329e90-1baa-11ed-bb95-4729c94c2637</t>
  </si>
  <si>
    <t>1adcd420-1baf-11ed-bb95-4729c94c2637</t>
  </si>
  <si>
    <t>58dd0890-1bb3-11ed-bb95-4729c94c2637</t>
  </si>
  <si>
    <t>e9c5cc20-1bb8-11ed-bb95-4729c94c2637</t>
  </si>
  <si>
    <t>aa3ef6b0-1bbf-11ed-bb95-4729c94c2637</t>
  </si>
  <si>
    <t>eab5a960-1bc3-11ed-bb95-4729c94c2637</t>
  </si>
  <si>
    <t>6a2fa570-1bc8-11ed-bb95-4729c94c2637</t>
  </si>
  <si>
    <t>9730bcc0-1bce-11ed-bb95-4729c94c2637</t>
  </si>
  <si>
    <t>5be6ea30-1bd4-11ed-bb95-4729c94c2637</t>
  </si>
  <si>
    <t>33e9e360-1bda-11ed-bb95-4729c94c2637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</si>
</sst>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Font="1" applyBorder="1"/>
    <xf numFmtId="0" fontId="0" fillId="3" borderId="8" xfId="0" applyFont="1" applyFill="1" applyBorder="1"/>
    <xf numFmtId="10" fontId="0" fillId="0" borderId="1" xfId="0" applyNumberFormat="1" applyFont="1" applyBorder="1"/>
    <xf numFmtId="10" fontId="0" fillId="0" borderId="8" xfId="0" applyNumberFormat="1" applyFont="1" applyBorder="1"/>
    <xf numFmtId="10" fontId="0" fillId="3" borderId="1" xfId="0" applyNumberFormat="1" applyFont="1" applyFill="1" applyBorder="1"/>
    <xf numFmtId="10" fontId="0" fillId="3" borderId="8" xfId="0" applyNumberFormat="1" applyFont="1" applyFill="1" applyBorder="1"/>
    <xf numFmtId="0" fontId="0" fillId="0" borderId="0" xfId="0" applyNumberFormat="1"/>
    <xf numFmtId="10" fontId="0" fillId="4" borderId="0" xfId="0" applyNumberFormat="1" applyFill="1"/>
    <xf numFmtId="0" fontId="0" fillId="0" borderId="9" xfId="0" applyBorder="1"/>
    <xf numFmtId="0" fontId="0" fillId="0" borderId="0" xfId="0" applyBorder="1"/>
    <xf numFmtId="10" fontId="0" fillId="0" borderId="0" xfId="0" applyNumberFormat="1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10" fontId="0" fillId="0" borderId="15" xfId="0" applyNumberFormat="1" applyFont="1" applyBorder="1"/>
    <xf numFmtId="0" fontId="0" fillId="0" borderId="16" xfId="0" applyBorder="1"/>
    <xf numFmtId="0" fontId="0" fillId="0" borderId="6" xfId="0" applyBorder="1"/>
    <xf numFmtId="0" fontId="1" fillId="0" borderId="0" xfId="0" applyFont="1" applyBorder="1" applyAlignment="1"/>
    <xf numFmtId="0" fontId="1" fillId="0" borderId="5" xfId="0" applyFont="1" applyFill="1" applyBorder="1"/>
    <xf numFmtId="0" fontId="1" fillId="0" borderId="2" xfId="0" applyFont="1" applyFill="1" applyBorder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3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2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89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5" headerRowBorderDxfId="1274" tableBorderDxfId="1273" totalsRowBorderDxfId="1272">
  <autoFilter ref="K17:O20" xr:uid="{01E0B516-A92C-45D4-946B-0FCF2F31D98A}"/>
  <tableColumns count="5">
    <tableColumn id="1" xr3:uid="{F1A34086-91B1-448A-A581-8C7A371A6B38}" name="ability" dataDxfId="1271"/>
    <tableColumn id="2" xr3:uid="{1CA216CA-0230-4993-9DF5-190FC3A6530D}" name="takes" dataDxfId="1270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69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68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7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6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5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4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3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2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1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0" headerRowBorderDxfId="1259" tableBorderDxfId="1258" totalsRowBorderDxfId="1257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6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5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4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3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2" headerRowBorderDxfId="1251" tableBorderDxfId="1250" totalsRowBorderDxfId="1249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48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7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6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5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4" headerRowBorderDxfId="1243" tableBorderDxfId="1242" totalsRowBorderDxfId="1241">
  <autoFilter ref="K38:O41" xr:uid="{A1F38E75-59DE-4DB4-B81C-C0322397F6F7}"/>
  <tableColumns count="5">
    <tableColumn id="1" xr3:uid="{74357A07-E8F9-4439-8A7D-C51B3289B074}" name="ability" dataDxfId="1240"/>
    <tableColumn id="2" xr3:uid="{2B46AB72-5070-479E-BA92-0EA40B2FAD9A}" name="takes" dataDxfId="1239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38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7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6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5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4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3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2">
      <calculatedColumnFormula>COUNTIF(Scenario2[winner1-ability1],DruidAbilities1Scenario2[[#This Row],[ability]])</calculatedColumnFormula>
    </tableColumn>
    <tableColumn id="5" xr3:uid="{8E619ED0-484C-4412-A819-C4816A1E0005}" name="battles-take-rate" dataDxfId="1231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0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29" headerRowBorderDxfId="1228" tableBorderDxfId="1227" totalsRowBorderDxfId="1226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5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4">
      <calculatedColumnFormula>COUNTIF(Scenario2[winner1-ability2],DruidAbilities2Scenario2[[#This Row],[ability]])</calculatedColumnFormula>
    </tableColumn>
    <tableColumn id="4" xr3:uid="{DD2FBF56-CB12-4887-A4B2-BB3C9B0B611A}" name="battles-take-rate" dataDxfId="1223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2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1" headerRowBorderDxfId="1220" tableBorderDxfId="1219" totalsRowBorderDxfId="1218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7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6">
      <calculatedColumnFormula>COUNTIF(Scenario2[winner1-ability3],DruidAbilities3Scenario2[[#This Row],[ability]])</calculatedColumnFormula>
    </tableColumn>
    <tableColumn id="4" xr3:uid="{17A59155-4BEE-4B00-A77D-54C7568B711B}" name="battles-take-rate" dataDxfId="1215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4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8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7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6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3" headerRowBorderDxfId="1212" tableBorderDxfId="1211" totalsRowBorderDxfId="1210">
  <autoFilter ref="K59:O62" xr:uid="{DDB7F110-02A6-4F67-8266-251AF48CB7C0}"/>
  <tableColumns count="5">
    <tableColumn id="1" xr3:uid="{963218A6-E2C8-468F-A480-18EABD6D01C3}" name="ability" dataDxfId="1209"/>
    <tableColumn id="2" xr3:uid="{B7AE8A89-2A8C-49AF-8D96-6C1AB2DACE14}" name="takes" dataDxfId="1208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7">
      <calculatedColumnFormula>COUNTIF(Scenario2[winner1-ability4],DruidAbilities4Scenario2[[#This Row],[ability]])</calculatedColumnFormula>
    </tableColumn>
    <tableColumn id="4" xr3:uid="{AA29BEEB-A7D2-4818-96D2-39227A3BFA6F}" name="battles-take-rate" dataDxfId="1206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5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4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3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2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1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0">
      <calculatedColumnFormula>COUNTIF(Scenario3[winner1-ability1],DruidAbilities1Scenario3[[#This Row],[ability]])</calculatedColumnFormula>
    </tableColumn>
    <tableColumn id="5" xr3:uid="{4FF89EE2-8630-4141-AE21-A771AD1A9EF8}" name="battles-take-rate" dataDxfId="1199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98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7" headerRowBorderDxfId="1196" tableBorderDxfId="1195" totalsRowBorderDxfId="1194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3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2">
      <calculatedColumnFormula>COUNTIF(Scenario3[winner1-ability2],DruidAbilities2Scenario3[[#This Row],[ability]])</calculatedColumnFormula>
    </tableColumn>
    <tableColumn id="4" xr3:uid="{59808BF5-1BB2-4D2F-A36A-8FCA1917F73C}" name="battles-take-rate" dataDxfId="1191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0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89" headerRowBorderDxfId="1188" tableBorderDxfId="1187" totalsRowBorderDxfId="1186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5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4">
      <calculatedColumnFormula>COUNTIF(Scenario3[winner1-ability3],DruidAbilities3Scenario3[[#This Row],[ability]])</calculatedColumnFormula>
    </tableColumn>
    <tableColumn id="4" xr3:uid="{56EE8E9D-0B38-4F3C-A706-DF801F6E782A}" name="battles-take-rate" dataDxfId="1183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2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1" headerRowBorderDxfId="1180" tableBorderDxfId="1179" totalsRowBorderDxfId="1178">
  <autoFilter ref="K80:O83" xr:uid="{6C814871-D00E-4AC2-ABE0-4B3892D7F0AE}"/>
  <tableColumns count="5">
    <tableColumn id="1" xr3:uid="{B336BFD3-C277-43F6-97B4-769FAB55ABA9}" name="ability" dataDxfId="1177"/>
    <tableColumn id="2" xr3:uid="{5DC7BD53-CE7F-4C9C-B8BB-D410EDE17928}" name="takes" dataDxfId="1176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5">
      <calculatedColumnFormula>COUNTIF(Scenario3[winner1-ability4],DruidAbilities4Scenario3[[#This Row],[ability]])</calculatedColumnFormula>
    </tableColumn>
    <tableColumn id="4" xr3:uid="{B9D09778-1506-47CB-BB1F-A00AE865D740}" name="battles-take-rate" dataDxfId="1174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3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2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1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0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69">
      <calculatedColumnFormula>COUNTIF(Scenario4[winner1-ability1],DruidAbilities1Scenario4[[#This Row],[ability]])</calculatedColumnFormula>
    </tableColumn>
    <tableColumn id="5" xr3:uid="{06AAF157-CF91-4862-9B21-2300847F6670}" name="battles-take-rate" dataDxfId="1168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7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6" headerRowBorderDxfId="1165" tableBorderDxfId="1164" totalsRowBorderDxfId="1163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2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1">
      <calculatedColumnFormula>COUNTIF(Scenario4[winner1-ability2],DruidAbilities2Scenario4[[#This Row],[ability]])</calculatedColumnFormula>
    </tableColumn>
    <tableColumn id="4" xr3:uid="{FF69DC1A-7A6E-47CC-BBE3-E23DADEF715C}" name="battles-take-rate" dataDxfId="1160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59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5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4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3" totalsRowDxfId="1782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58" headerRowBorderDxfId="1157" tableBorderDxfId="1156" totalsRowBorderDxfId="1155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4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3">
      <calculatedColumnFormula>COUNTIF(Scenario4[winner1-ability3],DruidAbilities3Scenario4[[#This Row],[ability]])</calculatedColumnFormula>
    </tableColumn>
    <tableColumn id="4" xr3:uid="{E1D61A81-525A-4DC1-B6E9-25C258725BE6}" name="battles-take-rate" dataDxfId="1152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1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0" headerRowBorderDxfId="1149" tableBorderDxfId="1148" totalsRowBorderDxfId="1147">
  <autoFilter ref="K101:O104" xr:uid="{BCDE9ED1-1F22-42AC-AE3B-C1EED0842896}"/>
  <tableColumns count="5">
    <tableColumn id="1" xr3:uid="{DB6EB367-D24F-401C-919C-82D3EAEA2086}" name="ability" dataDxfId="1146"/>
    <tableColumn id="2" xr3:uid="{BBEB468B-4705-4289-A434-105410CC5CFC}" name="takes" dataDxfId="1145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4">
      <calculatedColumnFormula>COUNTIF(Scenario4[winner1-ability4],DruidAbilities4Scenario4[[#This Row],[ability]])</calculatedColumnFormula>
    </tableColumn>
    <tableColumn id="4" xr3:uid="{8295F0F3-E629-4A87-A950-FDB997C5BE5E}" name="battles-take-rate" dataDxfId="1143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2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1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0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39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38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7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6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5" headerRowBorderDxfId="1134" tableBorderDxfId="1133" totalsRowBorderDxfId="1132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1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0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29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28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7" headerRowBorderDxfId="1126" tableBorderDxfId="1125" totalsRowBorderDxfId="1124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3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2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1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0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19" headerRowBorderDxfId="1118" tableBorderDxfId="1117" totalsRowBorderDxfId="1116">
  <autoFilter ref="K122:O125" xr:uid="{2FAABC51-3ED7-410E-B39C-5A68AC6ED2E4}"/>
  <tableColumns count="5">
    <tableColumn id="1" xr3:uid="{7F722AC3-75F6-45B3-9190-827293B02D4C}" name="ability" dataDxfId="1115"/>
    <tableColumn id="2" xr3:uid="{683FB055-6956-496F-A0E9-5C2E73881138}" name="takes" dataDxfId="1114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3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2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1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0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09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08">
      <calculatedColumnFormula>L3+L24+L45+L66+L87+L108</calculatedColumnFormula>
    </tableColumn>
    <tableColumn id="4" xr3:uid="{EC3B8EC8-1BFA-48CF-8CDE-94C6F7C34CA6}" name="wins" dataDxfId="1107">
      <calculatedColumnFormula>M3+M24+M45+M66+M87+M108</calculatedColumnFormula>
    </tableColumn>
    <tableColumn id="5" xr3:uid="{F0960502-C6CE-4EB1-BD9C-74EF7F619CEB}" name="battles-take-rate" dataDxfId="1106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5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4" headerRowBorderDxfId="1103" tableBorderDxfId="1102" totalsRowBorderDxfId="1101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0">
      <calculatedColumnFormula>L8+L29+L50+L71+L92+L113</calculatedColumnFormula>
    </tableColumn>
    <tableColumn id="3" xr3:uid="{DC8F8E66-B8EB-483C-B2BE-7C9B2A81E076}" name="wins" dataDxfId="1099">
      <calculatedColumnFormula>M8+M29+M50+M71+M92+M113</calculatedColumnFormula>
    </tableColumn>
    <tableColumn id="4" xr3:uid="{5AD9DA06-82FA-4EF9-BFCA-BF0FFFF88911}" name="battles-take-rate" dataDxfId="1098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7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1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6" headerRowBorderDxfId="1095" tableBorderDxfId="1094" totalsRowBorderDxfId="1093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2">
      <calculatedColumnFormula>L13+L34+L55+L76+L97+L118</calculatedColumnFormula>
    </tableColumn>
    <tableColumn id="3" xr3:uid="{C0F69861-77B3-4AAF-8D53-36D42207F13D}" name="wins" dataDxfId="1091">
      <calculatedColumnFormula>M13+M34+M55+M76+M97+M118</calculatedColumnFormula>
    </tableColumn>
    <tableColumn id="4" xr3:uid="{17EE2411-F535-4C09-9682-1BE2E263BF38}" name="battles-take-rate" dataDxfId="1090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89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88" headerRowBorderDxfId="1087" tableBorderDxfId="1086" totalsRowBorderDxfId="1085">
  <autoFilter ref="A17:E20" xr:uid="{2AADA4A0-2F4A-4009-8ECF-0BECA693390C}"/>
  <tableColumns count="5">
    <tableColumn id="1" xr3:uid="{5859F4D6-E405-494D-9495-456C2A717042}" name="ability" dataDxfId="1084"/>
    <tableColumn id="2" xr3:uid="{13382877-AB77-41B2-B30F-FD8ADF1868AD}" name="takes" dataDxfId="1083">
      <calculatedColumnFormula>L18+L39+L60+L81+L102+L123</calculatedColumnFormula>
    </tableColumn>
    <tableColumn id="3" xr3:uid="{56A52BF0-1C62-4182-A5FB-18D3BE10282A}" name="wins" dataDxfId="1082">
      <calculatedColumnFormula>M18+M39+M60+M81+M102+M123</calculatedColumnFormula>
    </tableColumn>
    <tableColumn id="4" xr3:uid="{F15A1649-CD46-4B82-A2D9-FCA28362795D}" name="battles-take-rate" dataDxfId="1081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0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79">
      <calculatedColumnFormula>R3+R24+R45+R66+R87+R108</calculatedColumnFormula>
    </tableColumn>
    <tableColumn id="4" xr3:uid="{069713F1-C2CC-49D1-89BE-818384A2E4FD}" name="chestpiece" dataDxfId="107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7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6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5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4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3" headerRowBorderDxfId="1072" tableBorderDxfId="1071" totalsRowBorderDxfId="1070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69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68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7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6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5" headerRowBorderDxfId="1064" tableBorderDxfId="1063" totalsRowBorderDxfId="1062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1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0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59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58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7" headerRowBorderDxfId="1056" tableBorderDxfId="1055" totalsRowBorderDxfId="1054">
  <autoFilter ref="K17:O20" xr:uid="{01E0B516-A92C-45D4-946B-0FCF2F31D98A}"/>
  <tableColumns count="5">
    <tableColumn id="1" xr3:uid="{6E3ACF5F-C817-4C40-88BC-5BCD22AC85C1}" name="ability" dataDxfId="1053"/>
    <tableColumn id="2" xr3:uid="{B913933F-DE61-4933-B988-849E3D873B6C}" name="takes" dataDxfId="1052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1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0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49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48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7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6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5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4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3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2" headerRowBorderDxfId="1041" tableBorderDxfId="1040" totalsRowBorderDxfId="1039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38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7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6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5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0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79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78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4" headerRowBorderDxfId="1033" tableBorderDxfId="1032" totalsRowBorderDxfId="1031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0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29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28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7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6" headerRowBorderDxfId="1025" tableBorderDxfId="1024" totalsRowBorderDxfId="1023">
  <autoFilter ref="K38:O41" xr:uid="{A1F38E75-59DE-4DB4-B81C-C0322397F6F7}"/>
  <tableColumns count="5">
    <tableColumn id="1" xr3:uid="{CB833622-9500-452A-9643-EC635B82CE80}" name="ability" dataDxfId="1022"/>
    <tableColumn id="2" xr3:uid="{91B01C21-E0B8-45E1-8DF5-A7B9A623E34E}" name="takes" dataDxfId="1021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0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19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18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7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6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5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4">
      <calculatedColumnFormula>COUNTIF(Scenario2[winner1-ability1],OracleAbilities1Scenario2[[#This Row],[ability]])</calculatedColumnFormula>
    </tableColumn>
    <tableColumn id="5" xr3:uid="{034FA980-30F5-4A65-930E-873C758C7280}" name="battles-take-rate" dataDxfId="1013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2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1" headerRowBorderDxfId="1010" tableBorderDxfId="1009" totalsRowBorderDxfId="1008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7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6">
      <calculatedColumnFormula>COUNTIF(Scenario2[winner1-ability2],OracleAbilities2Scenario2[[#This Row],[ability]])</calculatedColumnFormula>
    </tableColumn>
    <tableColumn id="4" xr3:uid="{447E5C6C-E9F9-4D65-9CC8-EFF3C7DE5206}" name="battles-take-rate" dataDxfId="1005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4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3" headerRowBorderDxfId="1002" tableBorderDxfId="1001" totalsRowBorderDxfId="1000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99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98">
      <calculatedColumnFormula>COUNTIF(Scenario2[winner1-ability3],OracleAbilities3Scenario2[[#This Row],[ability]])</calculatedColumnFormula>
    </tableColumn>
    <tableColumn id="4" xr3:uid="{14BEA7A5-F9D1-44CF-A38C-50CB90297594}" name="battles-take-rate" dataDxfId="997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6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5" headerRowBorderDxfId="994" tableBorderDxfId="993" totalsRowBorderDxfId="992">
  <autoFilter ref="K59:O62" xr:uid="{DDB7F110-02A6-4F67-8266-251AF48CB7C0}"/>
  <tableColumns count="5">
    <tableColumn id="1" xr3:uid="{684380C7-16C1-449D-A8CD-E4785101BEE3}" name="ability" dataDxfId="991"/>
    <tableColumn id="2" xr3:uid="{A5078570-2F9D-4A26-860A-7EA42522F276}" name="takes" dataDxfId="990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89">
      <calculatedColumnFormula>COUNTIF(Scenario2[winner1-ability4],OracleAbilities4Scenario2[[#This Row],[ability]])</calculatedColumnFormula>
    </tableColumn>
    <tableColumn id="4" xr3:uid="{25CD52B3-8C70-4953-9C63-7606955949E3}" name="battles-take-rate" dataDxfId="988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7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6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5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4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3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2">
      <calculatedColumnFormula>COUNTIF(Scenario3[winner1-ability1],OracleAbilities1Scenario3[[#This Row],[ability]])</calculatedColumnFormula>
    </tableColumn>
    <tableColumn id="5" xr3:uid="{DE62042D-7982-4BF3-B071-8EDF692003FE}" name="battles-take-rate" dataDxfId="981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0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7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6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5" totalsRowDxfId="1774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79" headerRowBorderDxfId="978" tableBorderDxfId="977" totalsRowBorderDxfId="976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5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4">
      <calculatedColumnFormula>COUNTIF(Scenario3[winner1-ability2],OracleAbilities2Scenario3[[#This Row],[ability]])</calculatedColumnFormula>
    </tableColumn>
    <tableColumn id="4" xr3:uid="{8DF31301-6566-4092-A843-4FFDD045A618}" name="battles-take-rate" dataDxfId="973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2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1" headerRowBorderDxfId="970" tableBorderDxfId="969" totalsRowBorderDxfId="968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7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6">
      <calculatedColumnFormula>COUNTIF(Scenario3[winner1-ability3],OracleAbilities3Scenario3[[#This Row],[ability]])</calculatedColumnFormula>
    </tableColumn>
    <tableColumn id="4" xr3:uid="{3DF4458E-C16E-4A8A-B345-E3B7F6485141}" name="battles-take-rate" dataDxfId="965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4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3" headerRowBorderDxfId="962" tableBorderDxfId="961" totalsRowBorderDxfId="960">
  <autoFilter ref="K80:O83" xr:uid="{D79E2D8A-FC77-422A-AA03-F5F2585C088A}"/>
  <tableColumns count="5">
    <tableColumn id="1" xr3:uid="{DBD34D79-41EF-433F-AF97-F8A313ED3DF0}" name="ability" dataDxfId="959"/>
    <tableColumn id="2" xr3:uid="{F2E59DF2-2278-41C3-97C8-B7A29C9CCB3B}" name="takes" dataDxfId="958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7">
      <calculatedColumnFormula>COUNTIF(Scenario3[winner1-ability4],OracleAbilities4Scenario3[[#This Row],[ability]])</calculatedColumnFormula>
    </tableColumn>
    <tableColumn id="4" xr3:uid="{91B8F5F4-FFA1-4668-B2FE-3D694C677333}" name="battles-take-rate" dataDxfId="956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5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4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3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2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1">
      <calculatedColumnFormula>COUNTIF(Scenario4[winner1-ability1],OracleAbilities1Scenario4[[#This Row],[ability]])</calculatedColumnFormula>
    </tableColumn>
    <tableColumn id="5" xr3:uid="{20962A48-FDB1-4433-AD85-6B419B89A67F}" name="battles-take-rate" dataDxfId="950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49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48" headerRowBorderDxfId="947" tableBorderDxfId="946" totalsRowBorderDxfId="945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4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3">
      <calculatedColumnFormula>COUNTIF(Scenario4[winner1-ability2],OracleAbilities2Scenario4[[#This Row],[ability]])</calculatedColumnFormula>
    </tableColumn>
    <tableColumn id="4" xr3:uid="{E158F215-350E-4C9E-8771-BFA9C4D2CF70}" name="battles-take-rate" dataDxfId="942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1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0" headerRowBorderDxfId="939" tableBorderDxfId="938" totalsRowBorderDxfId="937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6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5">
      <calculatedColumnFormula>COUNTIF(Scenario4[winner1-ability3],OracleAbilities3Scenario4[[#This Row],[ability]])</calculatedColumnFormula>
    </tableColumn>
    <tableColumn id="4" xr3:uid="{545DD3BB-A8B7-4278-B9E0-8B99F4DA3A2D}" name="battles-take-rate" dataDxfId="934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3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2" headerRowBorderDxfId="931" tableBorderDxfId="930" totalsRowBorderDxfId="929">
  <autoFilter ref="K101:O104" xr:uid="{A90B60DF-6D5E-424F-AC92-0501EE8D54C9}"/>
  <tableColumns count="5">
    <tableColumn id="1" xr3:uid="{2BCBEE41-2EFE-491D-9797-7EF335F79D9B}" name="ability" dataDxfId="928"/>
    <tableColumn id="2" xr3:uid="{DF0F6ED7-41ED-40AF-884D-0FAA02427295}" name="takes" dataDxfId="927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6">
      <calculatedColumnFormula>COUNTIF(Scenario4[winner1-ability4],OracleAbilities4Scenario4[[#This Row],[ability]])</calculatedColumnFormula>
    </tableColumn>
    <tableColumn id="4" xr3:uid="{0241E110-A31B-4B51-AEEF-C37D5902AA27}" name="battles-take-rate" dataDxfId="925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4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3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2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1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0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19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18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13" totalsRowShown="0">
  <autoFilter ref="A1:AJ13" xr:uid="{00000000-0009-0000-0100-000001000000}"/>
  <tableColumns count="36">
    <tableColumn id="1" xr3:uid="{EF069B9A-F666-4BB1-8683-9730FA583554}" name="battle" dataDxfId="1773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7" headerRowBorderDxfId="916" tableBorderDxfId="915" totalsRowBorderDxfId="914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3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2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1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0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09" headerRowBorderDxfId="908" tableBorderDxfId="907" totalsRowBorderDxfId="906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5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4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3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2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1" headerRowBorderDxfId="900" tableBorderDxfId="899" totalsRowBorderDxfId="898">
  <autoFilter ref="K122:O125" xr:uid="{E2E1629C-B0D9-466D-BD66-8E394B74E384}"/>
  <tableColumns count="5">
    <tableColumn id="1" xr3:uid="{AA533A29-20C2-4A65-AC96-65CCA3457C7E}" name="ability" dataDxfId="897"/>
    <tableColumn id="2" xr3:uid="{8EF487D6-4412-4F93-A267-6247F705D69A}" name="takes" dataDxfId="896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5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4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3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2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1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0">
      <calculatedColumnFormula>L3+L24+L45+L66+L87+L108</calculatedColumnFormula>
    </tableColumn>
    <tableColumn id="4" xr3:uid="{35DA6B5B-7FC1-492C-B2D0-6F511F16DAD4}" name="wins" dataDxfId="889">
      <calculatedColumnFormula>M3+M24+M45+M66+M87+M108</calculatedColumnFormula>
    </tableColumn>
    <tableColumn id="5" xr3:uid="{FAF7873E-FAE0-4F3C-BAB5-7E4AC3926D8C}" name="battles-take-rate" dataDxfId="888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7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6" headerRowBorderDxfId="885" tableBorderDxfId="884" totalsRowBorderDxfId="883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2">
      <calculatedColumnFormula>L8+L29+L50+L71+L92+L113</calculatedColumnFormula>
    </tableColumn>
    <tableColumn id="3" xr3:uid="{A06DED1F-7374-4755-8A38-527DEBEFD3C6}" name="wins" dataDxfId="881">
      <calculatedColumnFormula>M8+M29+M50+M71+M92+M113</calculatedColumnFormula>
    </tableColumn>
    <tableColumn id="4" xr3:uid="{C56FD638-0548-4732-8F67-350D170E46E5}" name="battles-take-rate" dataDxfId="880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79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78" headerRowBorderDxfId="877" tableBorderDxfId="876" totalsRowBorderDxfId="875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4">
      <calculatedColumnFormula>L13+L34+L55+L76+L97+L118</calculatedColumnFormula>
    </tableColumn>
    <tableColumn id="3" xr3:uid="{150079D1-0272-4CFB-8282-44464105457B}" name="wins" dataDxfId="873">
      <calculatedColumnFormula>M13+M34+M55+M76+M97+M118</calculatedColumnFormula>
    </tableColumn>
    <tableColumn id="4" xr3:uid="{65FEB6D5-A05E-4FC8-B85E-99DFC519570C}" name="battles-take-rate" dataDxfId="872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1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0" headerRowBorderDxfId="869" tableBorderDxfId="868" totalsRowBorderDxfId="867">
  <autoFilter ref="A17:E20" xr:uid="{2AADA4A0-2F4A-4009-8ECF-0BECA693390C}"/>
  <tableColumns count="5">
    <tableColumn id="1" xr3:uid="{F38332B4-A633-4A53-A294-B990E53A9E9E}" name="ability" dataDxfId="866"/>
    <tableColumn id="2" xr3:uid="{A659B804-FBC0-4B86-B0D0-259516FAF254}" name="takes" dataDxfId="865">
      <calculatedColumnFormula>L18+L39+L60+L81+L102+L123</calculatedColumnFormula>
    </tableColumn>
    <tableColumn id="3" xr3:uid="{4DFB6D75-6E90-4DA5-BE74-537E8812340F}" name="wins" dataDxfId="864">
      <calculatedColumnFormula>M18+M39+M60+M81+M102+M123</calculatedColumnFormula>
    </tableColumn>
    <tableColumn id="4" xr3:uid="{D1650154-5016-46B0-8BD5-16233AA11280}" name="battles-take-rate" dataDxfId="863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2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1">
      <calculatedColumnFormula>R3+R24+R45+R66+R87+R108</calculatedColumnFormula>
    </tableColumn>
    <tableColumn id="4" xr3:uid="{5D997E40-F727-46C7-B765-00166A875EA3}" name="chestpiece" dataDxfId="86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59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58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7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6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2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1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0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5" headerRowBorderDxfId="854" tableBorderDxfId="853" totalsRowBorderDxfId="852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1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0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49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48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7" headerRowBorderDxfId="846" tableBorderDxfId="845" totalsRowBorderDxfId="844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3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2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1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0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39" headerRowBorderDxfId="838" tableBorderDxfId="837" totalsRowBorderDxfId="836">
  <autoFilter ref="K17:O20" xr:uid="{01E0B516-A92C-45D4-946B-0FCF2F31D98A}"/>
  <tableColumns count="5">
    <tableColumn id="1" xr3:uid="{B1ECB730-0F58-4ABC-942D-CAE55E41CA9A}" name="ability" dataDxfId="835"/>
    <tableColumn id="2" xr3:uid="{508F1330-F650-4934-B53E-5CF30E50850F}" name="takes" dataDxfId="834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3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2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1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0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29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28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7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6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5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4" headerRowBorderDxfId="823" tableBorderDxfId="822" totalsRowBorderDxfId="821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0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19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18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7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6" headerRowBorderDxfId="815" tableBorderDxfId="814" totalsRowBorderDxfId="813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2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1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0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09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08" headerRowBorderDxfId="807" tableBorderDxfId="806" totalsRowBorderDxfId="805">
  <autoFilter ref="K38:O41" xr:uid="{A1F38E75-59DE-4DB4-B81C-C0322397F6F7}"/>
  <tableColumns count="5">
    <tableColumn id="1" xr3:uid="{E95AEAE3-62BB-4DA7-B153-EB2086E73E57}" name="ability" dataDxfId="804"/>
    <tableColumn id="2" xr3:uid="{2A9E73B8-CD6F-4011-BAC1-63B6A821F80F}" name="takes" dataDxfId="803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2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1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0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99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98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7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6">
      <calculatedColumnFormula>COUNTIF(Scenario2[winner1-ability1],AvatarAbilities1Scenario2[[#This Row],[ability]])</calculatedColumnFormula>
    </tableColumn>
    <tableColumn id="5" xr3:uid="{1E61EB7F-DF68-4EB7-80E2-73B696E16EFA}" name="battles-take-rate" dataDxfId="795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4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69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68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7" totalsRowDxfId="1766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3" headerRowBorderDxfId="792" tableBorderDxfId="791" totalsRowBorderDxfId="790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89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88">
      <calculatedColumnFormula>COUNTIF(Scenario2[winner1-ability2],AvatarAbilities2Scenario2[[#This Row],[ability]])</calculatedColumnFormula>
    </tableColumn>
    <tableColumn id="4" xr3:uid="{C9E6BEDE-6D55-465F-A23C-088B0E5A7769}" name="battles-take-rate" dataDxfId="787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6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5" headerRowBorderDxfId="784" tableBorderDxfId="783" totalsRowBorderDxfId="782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1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0">
      <calculatedColumnFormula>COUNTIF(Scenario2[winner1-ability3],AvatarAbilities3Scenario2[[#This Row],[ability]])</calculatedColumnFormula>
    </tableColumn>
    <tableColumn id="4" xr3:uid="{ADEFFFFC-593D-4983-81AB-62FCA7D838BE}" name="battles-take-rate" dataDxfId="779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78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7" headerRowBorderDxfId="776" tableBorderDxfId="775" totalsRowBorderDxfId="774">
  <autoFilter ref="K59:O62" xr:uid="{DDB7F110-02A6-4F67-8266-251AF48CB7C0}"/>
  <tableColumns count="5">
    <tableColumn id="1" xr3:uid="{41FFE711-9BC2-4C77-93E0-ED76EFB9F1D5}" name="ability" dataDxfId="773"/>
    <tableColumn id="2" xr3:uid="{79EA1ED0-B935-47D2-A86B-D83C6704E80A}" name="takes" dataDxfId="772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1">
      <calculatedColumnFormula>COUNTIF(Scenario2[winner1-ability4],AvatarAbilities4Scenario2[[#This Row],[ability]])</calculatedColumnFormula>
    </tableColumn>
    <tableColumn id="4" xr3:uid="{02651184-3B76-4AC5-89C2-D810EC158F1B}" name="battles-take-rate" dataDxfId="770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69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68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7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6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5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4">
      <calculatedColumnFormula>COUNTIF(Scenario3[winner1-ability1],AvatarAbilities1Scenario3[[#This Row],[ability]])</calculatedColumnFormula>
    </tableColumn>
    <tableColumn id="5" xr3:uid="{DCB58979-EA4F-4103-8C4A-C096D75756ED}" name="battles-take-rate" dataDxfId="763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2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1" headerRowBorderDxfId="760" tableBorderDxfId="759" totalsRowBorderDxfId="758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7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6">
      <calculatedColumnFormula>COUNTIF(Scenario3[winner1-ability2],AvatarAbilities2Scenario3[[#This Row],[ability]])</calculatedColumnFormula>
    </tableColumn>
    <tableColumn id="4" xr3:uid="{70DDA6D0-1C36-48E6-8E20-D94EDE0BDFEA}" name="battles-take-rate" dataDxfId="755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4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3" headerRowBorderDxfId="752" tableBorderDxfId="751" totalsRowBorderDxfId="750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49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48">
      <calculatedColumnFormula>COUNTIF(Scenario3[winner1-ability3],AvatarAbilities3Scenario3[[#This Row],[ability]])</calculatedColumnFormula>
    </tableColumn>
    <tableColumn id="4" xr3:uid="{C06BD8DF-C441-459D-85EE-FD64A2043DD6}" name="battles-take-rate" dataDxfId="747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6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5" headerRowBorderDxfId="744" tableBorderDxfId="743" totalsRowBorderDxfId="742">
  <autoFilter ref="K80:O83" xr:uid="{6EEA34E6-E459-456B-91DD-043B51317E20}"/>
  <tableColumns count="5">
    <tableColumn id="1" xr3:uid="{8A349459-D27C-4E5A-A944-0E74AA4FA7B4}" name="ability" dataDxfId="741"/>
    <tableColumn id="2" xr3:uid="{D6DB89E1-6F3B-4EA4-ADC1-184D6ABA99BE}" name="takes" dataDxfId="740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39">
      <calculatedColumnFormula>COUNTIF(Scenario3[winner1-ability4],AvatarAbilities4Scenario3[[#This Row],[ability]])</calculatedColumnFormula>
    </tableColumn>
    <tableColumn id="4" xr3:uid="{8AF2EF2E-5801-460B-AD63-71BB7539AA5F}" name="battles-take-rate" dataDxfId="738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7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6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5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E9" totalsRowShown="0">
  <autoFilter ref="A1:E9" xr:uid="{63405EB0-A525-4FAC-AD12-CF7C798DE05C}"/>
  <tableColumns count="5">
    <tableColumn id="1" xr3:uid="{85B8E500-D508-49B7-B6C2-4293FF88864C}" name="hero"/>
    <tableColumn id="2" xr3:uid="{58A5592F-1F6D-4BC0-A001-DA1EE7044444}" name="battles" dataDxfId="1765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wins" dataDxfId="1764">
      <calculatedColumnFormula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calculatedColumnFormula>
    </tableColumn>
    <tableColumn id="4" xr3:uid="{6F2DCA26-2AD4-4FD6-9D9C-74EB1F995BF0}" name="win-rate" dataDxfId="1763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4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3">
      <calculatedColumnFormula>COUNTIF(Scenario4[winner1-ability1],AvatarAbilities1Scenario4[[#This Row],[ability]])</calculatedColumnFormula>
    </tableColumn>
    <tableColumn id="5" xr3:uid="{846FA7C9-7442-4196-AC20-39FB98DAF0BC}" name="battles-take-rate" dataDxfId="732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1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0" headerRowBorderDxfId="729" tableBorderDxfId="728" totalsRowBorderDxfId="727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6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5">
      <calculatedColumnFormula>COUNTIF(Scenario4[winner1-ability2],AvatarAbilities2Scenario4[[#This Row],[ability]])</calculatedColumnFormula>
    </tableColumn>
    <tableColumn id="4" xr3:uid="{F137D81F-3073-4FAD-9B08-809B82677FC3}" name="battles-take-rate" dataDxfId="724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3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2" headerRowBorderDxfId="721" tableBorderDxfId="720" totalsRowBorderDxfId="719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18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7">
      <calculatedColumnFormula>COUNTIF(Scenario4[winner1-ability3],AvatarAbilities3Scenario4[[#This Row],[ability]])</calculatedColumnFormula>
    </tableColumn>
    <tableColumn id="4" xr3:uid="{135BEB7A-915D-48E6-B091-0340F09F4D94}" name="battles-take-rate" dataDxfId="716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5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4" headerRowBorderDxfId="713" tableBorderDxfId="712" totalsRowBorderDxfId="711">
  <autoFilter ref="K101:O104" xr:uid="{B70B30A2-D94A-4C2F-A92C-F84D834CB3E7}"/>
  <tableColumns count="5">
    <tableColumn id="1" xr3:uid="{002E9049-8F7A-4096-964E-F4939A456F53}" name="ability" dataDxfId="710"/>
    <tableColumn id="2" xr3:uid="{8EB8EF4A-38F7-42BA-A433-E84AC27F3BE5}" name="takes" dataDxfId="709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08">
      <calculatedColumnFormula>COUNTIF(Scenario4[winner1-ability4],AvatarAbilities4Scenario4[[#This Row],[ability]])</calculatedColumnFormula>
    </tableColumn>
    <tableColumn id="4" xr3:uid="{65133FD4-CB3E-451F-9B0A-15A3A8F6140F}" name="battles-take-rate" dataDxfId="707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6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5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4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3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2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1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0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99" headerRowBorderDxfId="698" tableBorderDxfId="697" totalsRowBorderDxfId="696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5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4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3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2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1" headerRowBorderDxfId="690" tableBorderDxfId="689" totalsRowBorderDxfId="688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7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6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5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4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3" headerRowBorderDxfId="682" tableBorderDxfId="681" totalsRowBorderDxfId="680">
  <autoFilter ref="K122:O125" xr:uid="{E059746D-E675-4EF0-88F4-8791605FEEED}"/>
  <tableColumns count="5">
    <tableColumn id="1" xr3:uid="{20267F99-9DF2-489F-A0FB-268A63BB5519}" name="ability" dataDxfId="679"/>
    <tableColumn id="2" xr3:uid="{ED1C9F8E-8284-4586-BDDB-F607F38E81E8}" name="takes" dataDxfId="678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7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6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5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4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3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1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0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09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2">
      <calculatedColumnFormula>M3+M24+M45+M66+M87+M108</calculatedColumnFormula>
    </tableColumn>
    <tableColumn id="4" xr3:uid="{61A21492-49FF-4C06-A153-6F532C6C5A30}" name="wins" dataDxfId="1761">
      <calculatedColumnFormula>N3+N24+N45+N66+N87+N108</calculatedColumnFormula>
    </tableColumn>
    <tableColumn id="5" xr3:uid="{E54CF930-9561-430F-9E4C-4FBFE41AE34D}" name="battles-take-rate" dataDxfId="1760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59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2">
      <calculatedColumnFormula>L3+L24+L45+L66+L87+L108</calculatedColumnFormula>
    </tableColumn>
    <tableColumn id="4" xr3:uid="{E7594F03-C9FD-4ADD-810F-A5D3A80A11D0}" name="wins" dataDxfId="671">
      <calculatedColumnFormula>M3+M24+M45+M66+M87+M108</calculatedColumnFormula>
    </tableColumn>
    <tableColumn id="5" xr3:uid="{02A46B5D-C22D-499B-A57A-EDE540A8C147}" name="battles-take-rate" dataDxfId="670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69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68" headerRowBorderDxfId="667" tableBorderDxfId="666" totalsRowBorderDxfId="665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4">
      <calculatedColumnFormula>L8+L29+L50+L71+L92+L113</calculatedColumnFormula>
    </tableColumn>
    <tableColumn id="3" xr3:uid="{F5082C29-A973-4FDC-8C6D-DAB230FD220B}" name="wins" dataDxfId="663">
      <calculatedColumnFormula>M8+M29+M50+M71+M92+M113</calculatedColumnFormula>
    </tableColumn>
    <tableColumn id="4" xr3:uid="{955AA51C-C441-4923-93B4-21A375FB8EAB}" name="battles-take-rate" dataDxfId="662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1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0" headerRowBorderDxfId="659" tableBorderDxfId="658" totalsRowBorderDxfId="657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6">
      <calculatedColumnFormula>L13+L34+L55+L76+L97+L118</calculatedColumnFormula>
    </tableColumn>
    <tableColumn id="3" xr3:uid="{69A0AA59-1954-41A9-9184-3D9DCEC82306}" name="wins" dataDxfId="655">
      <calculatedColumnFormula>M13+M34+M55+M76+M97+M118</calculatedColumnFormula>
    </tableColumn>
    <tableColumn id="4" xr3:uid="{D2E0470C-3533-4EB8-BCB1-093B0305CFE5}" name="battles-take-rate" dataDxfId="654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3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2" headerRowBorderDxfId="651" tableBorderDxfId="650" totalsRowBorderDxfId="649">
  <autoFilter ref="A17:E20" xr:uid="{2AADA4A0-2F4A-4009-8ECF-0BECA693390C}"/>
  <tableColumns count="5">
    <tableColumn id="1" xr3:uid="{508E3F3C-793A-4D3F-8FE4-5033189433FA}" name="ability" dataDxfId="648"/>
    <tableColumn id="2" xr3:uid="{26190FBD-0D5B-4F70-AB7C-38105BD3682B}" name="takes" dataDxfId="647">
      <calculatedColumnFormula>L18+L39+L60+L81+L102+L123</calculatedColumnFormula>
    </tableColumn>
    <tableColumn id="3" xr3:uid="{6304B665-DF35-4910-8085-1B0F98C1C08E}" name="wins" dataDxfId="646">
      <calculatedColumnFormula>M18+M39+M60+M81+M102+M123</calculatedColumnFormula>
    </tableColumn>
    <tableColumn id="4" xr3:uid="{CE4233CF-2026-408F-A9F5-172CFF825DD4}" name="battles-take-rate" dataDxfId="645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4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3">
      <calculatedColumnFormula>R3+R24+R45+R66+R87+R108</calculatedColumnFormula>
    </tableColumn>
    <tableColumn id="4" xr3:uid="{066CD957-712B-40B8-9181-60B4B646F9D5}" name="chestpiece" dataDxfId="64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1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0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39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38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7" headerRowBorderDxfId="636" tableBorderDxfId="635" totalsRowBorderDxfId="634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3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2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1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0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29" headerRowBorderDxfId="628" tableBorderDxfId="627" totalsRowBorderDxfId="626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5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4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3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2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1" headerRowBorderDxfId="620" tableBorderDxfId="619" totalsRowBorderDxfId="618">
  <autoFilter ref="K17:O20" xr:uid="{01E0B516-A92C-45D4-946B-0FCF2F31D98A}"/>
  <tableColumns count="5">
    <tableColumn id="1" xr3:uid="{7A69B0E2-20CF-43A3-920A-9AE63CA4EDD6}" name="ability" dataDxfId="617"/>
    <tableColumn id="2" xr3:uid="{A0E31296-499C-405F-BCF6-B2EAB56FDACC}" name="takes" dataDxfId="616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5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4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3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2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1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58" headerRowBorderDxfId="1757" tableBorderDxfId="1756" totalsRowBorderDxfId="1755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4">
      <calculatedColumnFormula>M8+M29+M50+M71+M92+M113</calculatedColumnFormula>
    </tableColumn>
    <tableColumn id="3" xr3:uid="{80A922C6-64D8-44FE-96CB-B7E1F6FDC03C}" name="wins" dataDxfId="1753">
      <calculatedColumnFormula>N8+N29+N50+N71+N92+N113</calculatedColumnFormula>
    </tableColumn>
    <tableColumn id="4" xr3:uid="{554161FF-0726-4138-B76E-C5C63F8E633A}" name="battles-take-rate" dataDxfId="1752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1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0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09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08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7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6" headerRowBorderDxfId="605" tableBorderDxfId="604" totalsRowBorderDxfId="603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2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1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0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99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98" headerRowBorderDxfId="597" tableBorderDxfId="596" totalsRowBorderDxfId="595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4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3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2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1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0" headerRowBorderDxfId="589" tableBorderDxfId="588" totalsRowBorderDxfId="587">
  <autoFilter ref="K38:O41" xr:uid="{A1F38E75-59DE-4DB4-B81C-C0322397F6F7}"/>
  <tableColumns count="5">
    <tableColumn id="1" xr3:uid="{B95A8C1F-E83A-4A7B-ACAE-F997D171F354}" name="ability" dataDxfId="586"/>
    <tableColumn id="2" xr3:uid="{B5A87322-37A1-488C-B6C2-23B9D65EEB08}" name="takes" dataDxfId="585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4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3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2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1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0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79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78">
      <calculatedColumnFormula>COUNTIF(Scenario2[winner1-ability1],ShadowAbilities1Scenario2[[#This Row],[ability]])</calculatedColumnFormula>
    </tableColumn>
    <tableColumn id="5" xr3:uid="{AE0DC280-6579-4B86-B8B4-CDC9AF90EDBE}" name="battles-take-rate" dataDxfId="577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6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5" headerRowBorderDxfId="574" tableBorderDxfId="573" totalsRowBorderDxfId="572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1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0">
      <calculatedColumnFormula>COUNTIF(Scenario2[winner1-ability2],ShadowAbilities2Scenario2[[#This Row],[ability]])</calculatedColumnFormula>
    </tableColumn>
    <tableColumn id="4" xr3:uid="{348088A2-AD3A-435D-AAD6-1030EDC81266}" name="battles-take-rate" dataDxfId="569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68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7" headerRowBorderDxfId="566" tableBorderDxfId="565" totalsRowBorderDxfId="564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3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2">
      <calculatedColumnFormula>COUNTIF(Scenario2[winner1-ability3],ShadowAbilities3Scenario2[[#This Row],[ability]])</calculatedColumnFormula>
    </tableColumn>
    <tableColumn id="4" xr3:uid="{B6BC679A-540A-46F8-8039-4C37B6F8FAD6}" name="battles-take-rate" dataDxfId="561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0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59" headerRowBorderDxfId="558" tableBorderDxfId="557" totalsRowBorderDxfId="556">
  <autoFilter ref="K59:O62" xr:uid="{DDB7F110-02A6-4F67-8266-251AF48CB7C0}"/>
  <tableColumns count="5">
    <tableColumn id="1" xr3:uid="{808C7394-83C0-4054-AFB9-9F9E1965E6DC}" name="ability" dataDxfId="555"/>
    <tableColumn id="2" xr3:uid="{A8117EB0-F8AE-4362-841F-EBC31BDC80E7}" name="takes" dataDxfId="554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3">
      <calculatedColumnFormula>COUNTIF(Scenario2[winner1-ability4],ShadowAbilities4Scenario2[[#This Row],[ability]])</calculatedColumnFormula>
    </tableColumn>
    <tableColumn id="4" xr3:uid="{D18D0446-17DA-4367-8791-04B929BF7C7E}" name="battles-take-rate" dataDxfId="552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1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0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49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0" headerRowBorderDxfId="1749" tableBorderDxfId="1748" totalsRowBorderDxfId="1747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6">
      <calculatedColumnFormula>M13+M34+M55+M76+M97+M118</calculatedColumnFormula>
    </tableColumn>
    <tableColumn id="3" xr3:uid="{3EE75CB9-F097-4DDD-B43D-5E1FA49D5DA7}" name="wins" dataDxfId="1745">
      <calculatedColumnFormula>N13+N34+N55+N76+N97+N118</calculatedColumnFormula>
    </tableColumn>
    <tableColumn id="4" xr3:uid="{4386EDC2-3695-4FDE-BF81-4F581D693BFE}" name="battles-take-rate" dataDxfId="1744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3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48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7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6">
      <calculatedColumnFormula>COUNTIF(Scenario3[winner1-ability1],ShadowAbilities1Scenario3[[#This Row],[ability]])</calculatedColumnFormula>
    </tableColumn>
    <tableColumn id="5" xr3:uid="{CF3E5CA9-0667-4428-A210-89117623418E}" name="battles-take-rate" dataDxfId="545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4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3" headerRowBorderDxfId="542" tableBorderDxfId="541" totalsRowBorderDxfId="540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39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38">
      <calculatedColumnFormula>COUNTIF(Scenario3[winner1-ability2],ShadowAbilities2Scenario3[[#This Row],[ability]])</calculatedColumnFormula>
    </tableColumn>
    <tableColumn id="4" xr3:uid="{F55503FB-455E-4E35-B348-DB7A213DC482}" name="battles-take-rate" dataDxfId="537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6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5" headerRowBorderDxfId="534" tableBorderDxfId="533" totalsRowBorderDxfId="532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1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0">
      <calculatedColumnFormula>COUNTIF(Scenario3[winner1-ability3],ShadowAbilities3Scenario3[[#This Row],[ability]])</calculatedColumnFormula>
    </tableColumn>
    <tableColumn id="4" xr3:uid="{FE627B80-B071-44ED-96E3-2D22A6BFBE3E}" name="battles-take-rate" dataDxfId="529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28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7" headerRowBorderDxfId="526" tableBorderDxfId="525" totalsRowBorderDxfId="524">
  <autoFilter ref="K80:O83" xr:uid="{89998BA8-FF2B-4F78-B422-0769B096DA12}"/>
  <tableColumns count="5">
    <tableColumn id="1" xr3:uid="{9E2ED936-C92E-4DB6-8A8D-6A5D54890827}" name="ability" dataDxfId="523"/>
    <tableColumn id="2" xr3:uid="{30C20F36-9263-41F1-934F-C7B737783080}" name="takes" dataDxfId="522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1">
      <calculatedColumnFormula>COUNTIF(Scenario3[winner1-ability4],ShadowAbilities4Scenario3[[#This Row],[ability]])</calculatedColumnFormula>
    </tableColumn>
    <tableColumn id="4" xr3:uid="{C78891C3-5CB5-4131-9173-2B27B1A4D302}" name="battles-take-rate" dataDxfId="520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19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18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7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6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5">
      <calculatedColumnFormula>COUNTIF(Scenario4[winner1-ability1],ShadowAbilities1Scenario4[[#This Row],[ability]])</calculatedColumnFormula>
    </tableColumn>
    <tableColumn id="5" xr3:uid="{A901B921-06E8-4AEC-A96B-C713A120EDCD}" name="battles-take-rate" dataDxfId="514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3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2" headerRowBorderDxfId="511" tableBorderDxfId="510" totalsRowBorderDxfId="509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08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7">
      <calculatedColumnFormula>COUNTIF(Scenario4[winner1-ability2],ShadowAbilities2Scenario4[[#This Row],[ability]])</calculatedColumnFormula>
    </tableColumn>
    <tableColumn id="4" xr3:uid="{9729481F-2A5B-4AB2-B539-4C8B0BB903C3}" name="battles-take-rate" dataDxfId="506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5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4" headerRowBorderDxfId="503" tableBorderDxfId="502" totalsRowBorderDxfId="501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0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99">
      <calculatedColumnFormula>COUNTIF(Scenario4[winner1-ability3],ShadowAbilities3Scenario4[[#This Row],[ability]])</calculatedColumnFormula>
    </tableColumn>
    <tableColumn id="4" xr3:uid="{2B28F9B7-A49E-4828-AED2-A5F9D1DB620A}" name="battles-take-rate" dataDxfId="498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7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6" headerRowBorderDxfId="495" tableBorderDxfId="494" totalsRowBorderDxfId="493">
  <autoFilter ref="K101:O104" xr:uid="{1C609518-452E-4A91-AF17-394CB05FB0F3}"/>
  <tableColumns count="5">
    <tableColumn id="1" xr3:uid="{CC33268F-C34A-43D0-A56A-74B0F609F718}" name="ability" dataDxfId="492"/>
    <tableColumn id="2" xr3:uid="{6F12010D-206B-4AD4-9F1C-7792709F1041}" name="takes" dataDxfId="491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0">
      <calculatedColumnFormula>COUNTIF(Scenario4[winner1-ability4],ShadowAbilities4Scenario4[[#This Row],[ability]])</calculatedColumnFormula>
    </tableColumn>
    <tableColumn id="4" xr3:uid="{1F1D8ECE-DB99-4E3C-A674-360B53ED1293}" name="battles-take-rate" dataDxfId="489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88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2" headerRowBorderDxfId="1741" tableBorderDxfId="1740" totalsRowBorderDxfId="1739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38">
      <calculatedColumnFormula>M18+M39+M60+M81+M102+M123</calculatedColumnFormula>
    </tableColumn>
    <tableColumn id="3" xr3:uid="{FCDACB04-C3C9-4451-9344-563AAD645EE3}" name="wins" dataDxfId="1737">
      <calculatedColumnFormula>N18+N39+N60+N81+N102+N123</calculatedColumnFormula>
    </tableColumn>
    <tableColumn id="4" xr3:uid="{A43A8590-7A57-4069-B1B8-09F7A5FC26AC}" name="battles-take-rate" dataDxfId="1736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5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7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6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5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4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3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2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1" headerRowBorderDxfId="480" tableBorderDxfId="479" totalsRowBorderDxfId="478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7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6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5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4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3" headerRowBorderDxfId="472" tableBorderDxfId="471" totalsRowBorderDxfId="470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69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68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7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6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5" headerRowBorderDxfId="464" tableBorderDxfId="463" totalsRowBorderDxfId="462">
  <autoFilter ref="K122:O125" xr:uid="{74C00B1E-EEA9-48AB-A27C-B009AE4D0A5D}"/>
  <tableColumns count="5">
    <tableColumn id="1" xr3:uid="{0AB4169E-2A81-436A-8816-892597836570}" name="ability" dataDxfId="461"/>
    <tableColumn id="2" xr3:uid="{63FA27CA-DCA1-4F45-8BB0-FAAEBF52C2E6}" name="takes" dataDxfId="460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59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58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7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6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5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4">
      <calculatedColumnFormula>L3+L24+L45+L66+L87+L108</calculatedColumnFormula>
    </tableColumn>
    <tableColumn id="4" xr3:uid="{58CA11D9-169A-46E2-9A57-9E370495AE74}" name="wins" dataDxfId="453">
      <calculatedColumnFormula>M3+M24+M45+M66+M87+M108</calculatedColumnFormula>
    </tableColumn>
    <tableColumn id="5" xr3:uid="{FCD1957D-8B13-463F-918E-7541CD4802BE}" name="battles-take-rate" dataDxfId="452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1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0" headerRowBorderDxfId="449" tableBorderDxfId="448" totalsRowBorderDxfId="447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6">
      <calculatedColumnFormula>L8+L29+L50+L71+L92+L113</calculatedColumnFormula>
    </tableColumn>
    <tableColumn id="3" xr3:uid="{8036E5FE-9DB3-44E7-AF19-651F4FEED3A5}" name="wins" dataDxfId="445">
      <calculatedColumnFormula>M8+M29+M50+M71+M92+M113</calculatedColumnFormula>
    </tableColumn>
    <tableColumn id="4" xr3:uid="{F340980B-9818-44CD-839E-1CE580EFB60A}" name="battles-take-rate" dataDxfId="444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3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2" headerRowBorderDxfId="441" tableBorderDxfId="440" totalsRowBorderDxfId="439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38">
      <calculatedColumnFormula>L13+L34+L55+L76+L97+L118</calculatedColumnFormula>
    </tableColumn>
    <tableColumn id="3" xr3:uid="{C75B917B-4ECC-4DD1-9024-BE6CDFC7ADF6}" name="wins" dataDxfId="437">
      <calculatedColumnFormula>M13+M34+M55+M76+M97+M118</calculatedColumnFormula>
    </tableColumn>
    <tableColumn id="4" xr3:uid="{33AA1918-8E3F-4AE7-B461-1D2AFB04069A}" name="battles-take-rate" dataDxfId="436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5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4" headerRowBorderDxfId="433" tableBorderDxfId="432" totalsRowBorderDxfId="431">
  <autoFilter ref="A17:E20" xr:uid="{2AADA4A0-2F4A-4009-8ECF-0BECA693390C}"/>
  <tableColumns count="5">
    <tableColumn id="1" xr3:uid="{0F824B32-1B2D-4DB9-A0E4-042F6AAA65D0}" name="ability" dataDxfId="430"/>
    <tableColumn id="2" xr3:uid="{C861246F-E022-49C0-BFAD-6CD3013B0246}" name="takes" dataDxfId="429">
      <calculatedColumnFormula>L18+L39+L60+L81+L102+L123</calculatedColumnFormula>
    </tableColumn>
    <tableColumn id="3" xr3:uid="{3FA0E70F-04C8-4FC4-898C-79D0A5C6E6C3}" name="wins" dataDxfId="428">
      <calculatedColumnFormula>M18+M39+M60+M81+M102+M123</calculatedColumnFormula>
    </tableColumn>
    <tableColumn id="4" xr3:uid="{047E06AD-872B-4FB4-9AB8-8B8E2717658B}" name="battles-take-rate" dataDxfId="427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6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4">
      <calculatedColumnFormula>S3+S24+S45+S66+S87+S108</calculatedColumnFormula>
    </tableColumn>
    <tableColumn id="3" xr3:uid="{F4CFC04E-00E1-447E-954B-909DEBE33E7C}" name="shield" dataDxfId="1733">
      <calculatedColumnFormula>T3+T24+T45+T66+T87+T108</calculatedColumnFormula>
    </tableColumn>
    <tableColumn id="4" xr3:uid="{3051F8DD-C458-45A9-A22A-CA5DF4CE7313}" name="chestpiece" dataDxfId="1732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5">
      <calculatedColumnFormula>R3+R24+R45+R66+R87+R108</calculatedColumnFormula>
    </tableColumn>
    <tableColumn id="4" xr3:uid="{F2CC5FCF-C346-4903-B131-24F9A7A7ADC9}" name="chestpiece" dataDxfId="42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3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2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1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0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19" headerRowBorderDxfId="418" tableBorderDxfId="417" totalsRowBorderDxfId="416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5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4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3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2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1" headerRowBorderDxfId="410" tableBorderDxfId="409" totalsRowBorderDxfId="408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7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6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5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4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3" headerRowBorderDxfId="402" tableBorderDxfId="401" totalsRowBorderDxfId="400">
  <autoFilter ref="K17:O20" xr:uid="{01E0B516-A92C-45D4-946B-0FCF2F31D98A}"/>
  <tableColumns count="5">
    <tableColumn id="1" xr3:uid="{95251227-5274-48FA-A791-C1AC52DA6F2E}" name="ability" dataDxfId="399"/>
    <tableColumn id="2" xr3:uid="{B7211C4B-8C9B-4B1A-B9B4-26E32C837D31}" name="takes" dataDxfId="398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7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6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5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4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3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2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1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0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89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88" headerRowBorderDxfId="387" tableBorderDxfId="386" totalsRowBorderDxfId="385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4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3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2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1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0" headerRowBorderDxfId="379" tableBorderDxfId="378" totalsRowBorderDxfId="377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6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5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4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3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2" headerRowBorderDxfId="371" tableBorderDxfId="370" totalsRowBorderDxfId="369">
  <autoFilter ref="K38:O41" xr:uid="{A1F38E75-59DE-4DB4-B81C-C0322397F6F7}"/>
  <tableColumns count="5">
    <tableColumn id="1" xr3:uid="{D120DB3D-0A5D-420D-9741-6F25B01853C8}" name="ability" dataDxfId="368"/>
    <tableColumn id="2" xr3:uid="{917AA9FD-5BE5-479F-8517-062A9D4A84E5}" name="takes" dataDxfId="367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6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5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4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1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0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29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28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3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2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1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0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59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58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7" headerRowBorderDxfId="356" tableBorderDxfId="355" totalsRowBorderDxfId="354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3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2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1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0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49" headerRowBorderDxfId="348" tableBorderDxfId="347" totalsRowBorderDxfId="346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5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4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3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2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1" headerRowBorderDxfId="340" tableBorderDxfId="339" totalsRowBorderDxfId="338">
  <autoFilter ref="K59:O62" xr:uid="{DDB7F110-02A6-4F67-8266-251AF48CB7C0}"/>
  <tableColumns count="5">
    <tableColumn id="1" xr3:uid="{10AC8AF3-38AA-4A13-B22D-4BB6F815DE68}" name="ability" dataDxfId="337"/>
    <tableColumn id="2" xr3:uid="{71D3D958-AF17-4056-8501-6475CD621FEA}" name="takes" dataDxfId="336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5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4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3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2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1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0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29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28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7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6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5" headerRowBorderDxfId="324" tableBorderDxfId="323" totalsRowBorderDxfId="322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1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0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19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18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7" headerRowBorderDxfId="316" tableBorderDxfId="315" totalsRowBorderDxfId="314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3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2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1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0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7" headerRowBorderDxfId="1726" tableBorderDxfId="1725" totalsRowBorderDxfId="1724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3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2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1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0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09" headerRowBorderDxfId="308" tableBorderDxfId="307" totalsRowBorderDxfId="306">
  <autoFilter ref="K80:O83" xr:uid="{F49F780C-91EA-4137-817A-655CE8B0C91F}"/>
  <tableColumns count="5">
    <tableColumn id="1" xr3:uid="{138AE503-6600-46A3-BBD7-4F7DDB8524ED}" name="ability" dataDxfId="305"/>
    <tableColumn id="2" xr3:uid="{38FBAF79-85EE-4F74-89FD-CD7FAD9E38AA}" name="takes" dataDxfId="304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3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2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1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0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99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98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7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6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5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4" headerRowBorderDxfId="293" tableBorderDxfId="292" totalsRowBorderDxfId="291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0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89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88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7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6" headerRowBorderDxfId="285" tableBorderDxfId="284" totalsRowBorderDxfId="283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2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1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0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79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78" headerRowBorderDxfId="277" tableBorderDxfId="276" totalsRowBorderDxfId="275">
  <autoFilter ref="K101:O104" xr:uid="{C6F46D23-B1D4-4713-9D97-360EE74CE1F5}"/>
  <tableColumns count="5">
    <tableColumn id="1" xr3:uid="{B3B7DCCA-7B08-4F79-AC94-5F36F2CC9893}" name="ability" dataDxfId="274"/>
    <tableColumn id="2" xr3:uid="{72F61BD1-75B1-4082-BCF0-F09B0A4179AF}" name="takes" dataDxfId="273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2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1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0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69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68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74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73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72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71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70" headerRowBorderDxfId="68" tableBorderDxfId="69" totalsRowBorderDxfId="67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66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65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64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63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62" headerRowBorderDxfId="60" tableBorderDxfId="61" totalsRowBorderDxfId="59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58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57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56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55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19" headerRowBorderDxfId="1718" tableBorderDxfId="1717" totalsRowBorderDxfId="1716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5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4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3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2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54" headerRowBorderDxfId="52" tableBorderDxfId="53" totalsRowBorderDxfId="51">
  <autoFilter ref="K122:O125" xr:uid="{1A744E4A-3571-459A-BF22-53EBC8CB38DE}"/>
  <tableColumns count="5">
    <tableColumn id="1" xr3:uid="{979953D5-0824-493D-B92F-3E4881005717}" name="ability" dataDxfId="50"/>
    <tableColumn id="2" xr3:uid="{4ED6C1EE-CA65-44BD-8EB5-9DEE908DECE5}" name="takes" dataDxfId="49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48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47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46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45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44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67">
      <calculatedColumnFormula>M3+M24+M45+M66+M87+M108</calculatedColumnFormula>
    </tableColumn>
    <tableColumn id="4" xr3:uid="{CDAB9E23-22AA-4C01-8C82-A6CA62B02527}" name="wins" dataDxfId="266">
      <calculatedColumnFormula>N3+N24+N45+N66+N87+N108</calculatedColumnFormula>
    </tableColumn>
    <tableColumn id="5" xr3:uid="{10E225D8-ED8B-4DEA-B697-D56C9AC10EDE}" name="battles-take-rate" dataDxfId="265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64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63" headerRowBorderDxfId="262" tableBorderDxfId="261" totalsRowBorderDxfId="260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59">
      <calculatedColumnFormula>M8+M29+M50+M71+M92+M113</calculatedColumnFormula>
    </tableColumn>
    <tableColumn id="3" xr3:uid="{B90DED9A-FB36-4010-A0F2-A4F4295C587D}" name="wins" dataDxfId="258">
      <calculatedColumnFormula>N8+N29+N50+N71+N92+N113</calculatedColumnFormula>
    </tableColumn>
    <tableColumn id="4" xr3:uid="{BE0E10ED-A980-43A5-9BDF-619C73B41AFB}" name="battles-take-rate" dataDxfId="257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56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55" headerRowBorderDxfId="254" tableBorderDxfId="253" totalsRowBorderDxfId="252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51">
      <calculatedColumnFormula>M13+M34+M55+M76+M97+M118</calculatedColumnFormula>
    </tableColumn>
    <tableColumn id="3" xr3:uid="{4F19BEBF-12CE-4B6C-A863-4DF3FEA28027}" name="wins" dataDxfId="250">
      <calculatedColumnFormula>N13+N34+N55+N76+N97+N118</calculatedColumnFormula>
    </tableColumn>
    <tableColumn id="4" xr3:uid="{797719FB-C470-4B00-B35C-54DF472BB4A2}" name="battles-take-rate" dataDxfId="249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48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47" headerRowBorderDxfId="246" tableBorderDxfId="245" totalsRowBorderDxfId="244">
  <autoFilter ref="A17:E20" xr:uid="{2AADA4A0-2F4A-4009-8ECF-0BECA693390C}"/>
  <tableColumns count="5">
    <tableColumn id="1" xr3:uid="{797653A4-EDCA-4C4D-A3D4-CD6135488CE9}" name="ability" dataDxfId="243"/>
    <tableColumn id="2" xr3:uid="{9958885A-546E-4B41-BF74-36A6885A316D}" name="takes" dataDxfId="242">
      <calculatedColumnFormula>M18+M39+M60+M81+M102+M123</calculatedColumnFormula>
    </tableColumn>
    <tableColumn id="3" xr3:uid="{F49FD5D1-7963-494A-BE27-74BE85A96B9D}" name="wins" dataDxfId="241">
      <calculatedColumnFormula>N18+N39+N60+N81+N102+N123</calculatedColumnFormula>
    </tableColumn>
    <tableColumn id="4" xr3:uid="{F7EC00D3-61D4-46E7-BE58-31BDB9ED271A}" name="battles-take-rate" dataDxfId="240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39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38">
      <calculatedColumnFormula>S3+S24+S45+S66+S87+S108</calculatedColumnFormula>
    </tableColumn>
    <tableColumn id="3" xr3:uid="{39E8DCAE-D493-4A26-A9B3-9996C564CEE7}" name="blade" dataDxfId="237">
      <calculatedColumnFormula>T3+T24+T45+T66+T87+T108</calculatedColumnFormula>
    </tableColumn>
    <tableColumn id="4" xr3:uid="{F082B021-59DE-4852-B1B3-0AA25C478097}" name="chestpiece" dataDxfId="236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35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34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33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32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31" headerRowBorderDxfId="230" tableBorderDxfId="229" totalsRowBorderDxfId="228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227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226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225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224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223" headerRowBorderDxfId="222" tableBorderDxfId="221" totalsRowBorderDxfId="220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219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218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217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216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1" headerRowBorderDxfId="1710" tableBorderDxfId="1709" totalsRowBorderDxfId="1708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7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6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5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4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215" headerRowBorderDxfId="214" tableBorderDxfId="213" totalsRowBorderDxfId="212">
  <autoFilter ref="L17:P20" xr:uid="{01E0B516-A92C-45D4-946B-0FCF2F31D98A}"/>
  <tableColumns count="5">
    <tableColumn id="1" xr3:uid="{E980F6C0-E93A-4FFA-8E1B-7186BE3B4D2B}" name="ability" dataDxfId="211"/>
    <tableColumn id="2" xr3:uid="{387091C3-7426-4F2A-A753-72A1D81097AE}" name="takes" dataDxfId="210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209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208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207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206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205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204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203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202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201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200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99" headerRowBorderDxfId="198" tableBorderDxfId="197" totalsRowBorderDxfId="196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95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94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93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92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91" headerRowBorderDxfId="190" tableBorderDxfId="189" totalsRowBorderDxfId="188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87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86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85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84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83" headerRowBorderDxfId="182" tableBorderDxfId="181" totalsRowBorderDxfId="180">
  <autoFilter ref="L38:P41" xr:uid="{A1F38E75-59DE-4DB4-B81C-C0322397F6F7}"/>
  <tableColumns count="5">
    <tableColumn id="1" xr3:uid="{B108F2DF-4A32-4ECF-B16B-02A49181826D}" name="ability" dataDxfId="179"/>
    <tableColumn id="2" xr3:uid="{A47622D9-162B-4188-B077-F04987EF9266}" name="takes" dataDxfId="178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77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76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75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74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73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72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71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70">
      <calculatedColumnFormula>COUNTIF(Scenario2[winner1-ability1],AvengerAbilities1Scenario2[[#This Row],[ability]])</calculatedColumnFormula>
    </tableColumn>
    <tableColumn id="5" xr3:uid="{9DB36862-AC92-48F0-8B86-87B94516CEAF}" name="battles-take-rate" dataDxfId="169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68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67" headerRowBorderDxfId="166" tableBorderDxfId="165" totalsRowBorderDxfId="164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63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62">
      <calculatedColumnFormula>COUNTIF(Scenario2[winner1-ability2],AvengerAbilities2Scenario2[[#This Row],[ability]])</calculatedColumnFormula>
    </tableColumn>
    <tableColumn id="4" xr3:uid="{16676FDF-F72D-4A46-9456-4F4E86ACEDE3}" name="battles-take-rate" dataDxfId="161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60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59" headerRowBorderDxfId="158" tableBorderDxfId="157" totalsRowBorderDxfId="156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55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54">
      <calculatedColumnFormula>COUNTIF(Scenario2[winner1-ability3],AvengerAbilities3Scenario2[[#This Row],[ability]])</calculatedColumnFormula>
    </tableColumn>
    <tableColumn id="4" xr3:uid="{6EA1CE83-F097-4979-BAF4-5E5DD321C889}" name="battles-take-rate" dataDxfId="153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52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3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2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1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51" headerRowBorderDxfId="150" tableBorderDxfId="149" totalsRowBorderDxfId="148">
  <autoFilter ref="L59:P62" xr:uid="{DDB7F110-02A6-4F67-8266-251AF48CB7C0}"/>
  <tableColumns count="5">
    <tableColumn id="1" xr3:uid="{0228B3A4-F54D-4604-AAB4-26F241807E53}" name="ability" dataDxfId="147"/>
    <tableColumn id="2" xr3:uid="{BE2ED41F-9201-4A8E-B960-2268FAC34946}" name="takes" dataDxfId="146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45">
      <calculatedColumnFormula>COUNTIF(Scenario2[winner1-ability4],AvengerAbilities4Scenario2[[#This Row],[ability]])</calculatedColumnFormula>
    </tableColumn>
    <tableColumn id="4" xr3:uid="{5D2EF02F-DEB6-4E46-A7E5-3F277ED38E6B}" name="battles-take-rate" dataDxfId="144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43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42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41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40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39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38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37">
      <calculatedColumnFormula>COUNTIF(Scenario3[winner1-ability1],AvengerAbilities1Scenario3[[#This Row],[ability]])</calculatedColumnFormula>
    </tableColumn>
    <tableColumn id="5" xr3:uid="{925E1B42-8A3A-40EE-9A46-817810CDD8FB}" name="battles-take-rate" dataDxfId="136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35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34" headerRowBorderDxfId="133" tableBorderDxfId="132" totalsRowBorderDxfId="131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30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29">
      <calculatedColumnFormula>COUNTIF(Scenario3[winner1-ability2],AvengerAbilities2Scenario3[[#This Row],[ability]])</calculatedColumnFormula>
    </tableColumn>
    <tableColumn id="4" xr3:uid="{DA0323F7-D766-4C91-9345-7103E5B2B2FA}" name="battles-take-rate" dataDxfId="128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127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126" headerRowBorderDxfId="125" tableBorderDxfId="124" totalsRowBorderDxfId="123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122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121">
      <calculatedColumnFormula>COUNTIF(Scenario3[winner1-ability3],AvengerAbilities3Scenario3[[#This Row],[ability]])</calculatedColumnFormula>
    </tableColumn>
    <tableColumn id="4" xr3:uid="{DC30695C-AE61-4301-A803-CC651376959D}" name="battles-take-rate" dataDxfId="120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119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118" headerRowBorderDxfId="117" tableBorderDxfId="116" totalsRowBorderDxfId="115">
  <autoFilter ref="L80:P83" xr:uid="{DFBA6C76-2A45-4005-8A4B-B62B537356D5}"/>
  <tableColumns count="5">
    <tableColumn id="1" xr3:uid="{8C137A68-6D0C-49C3-8547-6CB48E7F2480}" name="ability" dataDxfId="114"/>
    <tableColumn id="2" xr3:uid="{BD1DED06-4C3E-47DC-8BD0-68CA34A1DA7A}" name="takes" dataDxfId="113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112">
      <calculatedColumnFormula>COUNTIF(Scenario3[winner1-ability4],AvengerAbilities4Scenario3[[#This Row],[ability]])</calculatedColumnFormula>
    </tableColumn>
    <tableColumn id="4" xr3:uid="{B8548539-0603-48EF-9DA8-3DCC5CD89D09}" name="battles-take-rate" dataDxfId="111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110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109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108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107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106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105">
      <calculatedColumnFormula>COUNTIF(Scenario4[winner1-ability1],AvengerAbilities1Scenario4[[#This Row],[ability]])</calculatedColumnFormula>
    </tableColumn>
    <tableColumn id="5" xr3:uid="{2B01D9E4-5C78-4A53-A8EA-8D87E0149485}" name="battles-take-rate" dataDxfId="104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103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102" headerRowBorderDxfId="101" tableBorderDxfId="100" totalsRowBorderDxfId="99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98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97">
      <calculatedColumnFormula>COUNTIF(Scenario4[winner1-ability2],AvengerAbilities2Scenario4[[#This Row],[ability]])</calculatedColumnFormula>
    </tableColumn>
    <tableColumn id="4" xr3:uid="{0CB5E9F8-1096-4C85-BE7F-5AA7B8C01603}" name="battles-take-rate" dataDxfId="96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95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8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7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6" totalsRowDxfId="1805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0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99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98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7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94" headerRowBorderDxfId="93" tableBorderDxfId="92" totalsRowBorderDxfId="91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90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89">
      <calculatedColumnFormula>COUNTIF(Scenario4[winner1-ability3],AvengerAbilities3Scenario4[[#This Row],[ability]])</calculatedColumnFormula>
    </tableColumn>
    <tableColumn id="4" xr3:uid="{C7BFDFBD-FC68-477D-8FFA-2D300E1AA89D}" name="battles-take-rate" dataDxfId="88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87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86" headerRowBorderDxfId="85" tableBorderDxfId="84" totalsRowBorderDxfId="83">
  <autoFilter ref="L101:P104" xr:uid="{E0C2D5AA-63BE-4431-96B6-ED61F1B43B2C}"/>
  <tableColumns count="5">
    <tableColumn id="1" xr3:uid="{69A79FA2-C7FA-4C00-84A3-F37C8FA60546}" name="ability" dataDxfId="82"/>
    <tableColumn id="2" xr3:uid="{E2E7B263-F388-4826-AF29-E7140D39D1AF}" name="takes" dataDxfId="81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80">
      <calculatedColumnFormula>COUNTIF(Scenario4[winner1-ability4],AvengerAbilities4Scenario4[[#This Row],[ability]])</calculatedColumnFormula>
    </tableColumn>
    <tableColumn id="4" xr3:uid="{4AF24253-BE96-42B9-8264-BF3FCEE7A29E}" name="battles-take-rate" dataDxfId="79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78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77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76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75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31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30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9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8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7" headerRowBorderDxfId="25" tableBorderDxfId="26" totalsRowBorderDxfId="24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3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2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1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0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19" headerRowBorderDxfId="17" tableBorderDxfId="18" totalsRowBorderDxfId="16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15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14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13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12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11" headerRowBorderDxfId="9" tableBorderDxfId="10" totalsRowBorderDxfId="8">
  <autoFilter ref="L122:P125" xr:uid="{F160D1D4-E2CA-4D0C-84EC-AA2A7E301211}"/>
  <tableColumns count="5">
    <tableColumn id="1" xr3:uid="{F60168F8-23AE-4CFB-A091-D964CDF9CCBB}" name="ability" dataDxfId="7"/>
    <tableColumn id="2" xr3:uid="{3A51F650-A9B5-4C31-8F09-AC78E854A77D}" name="takes" dataDxfId="6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5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4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3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0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6" headerRowBorderDxfId="1695" tableBorderDxfId="1694" totalsRowBorderDxfId="1693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2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1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0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89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88" headerRowBorderDxfId="1687" tableBorderDxfId="1686" totalsRowBorderDxfId="1685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4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3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2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1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0" headerRowBorderDxfId="1679" tableBorderDxfId="1678" totalsRowBorderDxfId="1677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6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5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4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3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2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1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0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69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68">
      <calculatedColumnFormula>COUNTIF(Scenario2[winner1-ability1],ParagonAbilities1Scenario2[[#This Row],[ability]])</calculatedColumnFormula>
    </tableColumn>
    <tableColumn id="5" xr3:uid="{B6F725F9-59F1-4BBC-88E3-95CB9FA3D9B4}" name="battles-take-rate" dataDxfId="1667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6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5" headerRowBorderDxfId="1664" tableBorderDxfId="1663" totalsRowBorderDxfId="1662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1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0">
      <calculatedColumnFormula>COUNTIF(Scenario2[winner1-ability2],ParagonAbilities2Scenario2[[#This Row],[ability]])</calculatedColumnFormula>
    </tableColumn>
    <tableColumn id="4" xr3:uid="{E051F2C9-AD26-4F86-BA73-06F989437A9B}" name="battles-take-rate" dataDxfId="1659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58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7" headerRowBorderDxfId="1656" tableBorderDxfId="1655" totalsRowBorderDxfId="1654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3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2">
      <calculatedColumnFormula>COUNTIF(Scenario2[winner1-ability3],ParagonAbilities3Scenario2[[#This Row],[ability]])</calculatedColumnFormula>
    </tableColumn>
    <tableColumn id="4" xr3:uid="{A7CC83B2-A2E6-4450-9696-B55D92586553}" name="battles-take-rate" dataDxfId="1651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0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49" headerRowBorderDxfId="1648" tableBorderDxfId="1647" totalsRowBorderDxfId="1646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5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4">
      <calculatedColumnFormula>COUNTIF(Scenario2[winner1-ability4],ParagonAbilities4Scenario2[[#This Row],[ability]])</calculatedColumnFormula>
    </tableColumn>
    <tableColumn id="4" xr3:uid="{CA8861D8-C4EC-4F7B-8C03-8907F286C5FD}" name="battles-take-rate" dataDxfId="1643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2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1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0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39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3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7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6">
      <calculatedColumnFormula>COUNTIF(Scenario3[winner1-ability1],ParagonAbilities1Scenario3[[#This Row],[ability]])</calculatedColumnFormula>
    </tableColumn>
    <tableColumn id="5" xr3:uid="{BF58455F-D839-40A6-B834-044CCA3A9D62}" name="battles-take-rate" dataDxfId="1635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4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3" headerRowBorderDxfId="1632" tableBorderDxfId="1631" totalsRowBorderDxfId="1630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29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28">
      <calculatedColumnFormula>COUNTIF(Scenario3[winner1-ability2],ParagonAbilities2Scenario3[[#This Row],[ability]])</calculatedColumnFormula>
    </tableColumn>
    <tableColumn id="4" xr3:uid="{A47A03CE-64B7-48DE-84FE-4869BB655C1E}" name="battles-take-rate" dataDxfId="1627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6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5" headerRowBorderDxfId="1624" tableBorderDxfId="1623" totalsRowBorderDxfId="1622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1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0">
      <calculatedColumnFormula>COUNTIF(Scenario3[winner1-ability3],ParagonAbilities3Scenario3[[#This Row],[ability]])</calculatedColumnFormula>
    </tableColumn>
    <tableColumn id="4" xr3:uid="{6962BF6D-C2E4-4653-B2E5-14FA4D687B66}" name="battles-take-rate" dataDxfId="1619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18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7" headerRowBorderDxfId="1616" tableBorderDxfId="1615" totalsRowBorderDxfId="1614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3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2">
      <calculatedColumnFormula>COUNTIF(Scenario3[winner1-ability4],ParagonAbilities4Scenario3[[#This Row],[ability]])</calculatedColumnFormula>
    </tableColumn>
    <tableColumn id="4" xr3:uid="{5564EF3F-A1E6-47F3-9245-63CBC8BF13EA}" name="battles-take-rate" dataDxfId="1611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0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09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08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7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6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5">
      <calculatedColumnFormula>COUNTIF(Scenario4[winner1-ability1],ParagonAbilities1Scenario4[[#This Row],[ability]])</calculatedColumnFormula>
    </tableColumn>
    <tableColumn id="5" xr3:uid="{A3A712DA-79C2-4E0A-B45F-24046DDDC055}" name="battles-take-rate" dataDxfId="1604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3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2" headerRowBorderDxfId="1601" tableBorderDxfId="1600" totalsRowBorderDxfId="1599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98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7">
      <calculatedColumnFormula>COUNTIF(Scenario4[winner1-ability2],ParagonAbilities2Scenario4[[#This Row],[ability]])</calculatedColumnFormula>
    </tableColumn>
    <tableColumn id="4" xr3:uid="{1F4853F6-9A8B-440D-A883-73FBA3E2B146}" name="battles-take-rate" dataDxfId="1596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5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4" headerRowBorderDxfId="1593" tableBorderDxfId="1592" totalsRowBorderDxfId="1591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0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89">
      <calculatedColumnFormula>COUNTIF(Scenario4[winner1-ability3],ParagonAbilities3Scenario4[[#This Row],[ability]])</calculatedColumnFormula>
    </tableColumn>
    <tableColumn id="4" xr3:uid="{90E5726D-20F9-4F3A-A0E6-A5A6EC87E009}" name="battles-take-rate" dataDxfId="1588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7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6" headerRowBorderDxfId="1585" tableBorderDxfId="1584" totalsRowBorderDxfId="1583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2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1">
      <calculatedColumnFormula>COUNTIF(Scenario4[winner1-ability4],ParagonAbilities4Scenario4[[#This Row],[ability]])</calculatedColumnFormula>
    </tableColumn>
    <tableColumn id="4" xr3:uid="{5FA50C4E-7E25-4F47-8E1C-377ED6B583BF}" name="battles-take-rate" dataDxfId="1580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79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4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3"/>
    <tableColumn id="5" xr3:uid="{128C557E-8342-4183-B44E-301E27402F84}" name="hero-4"/>
    <tableColumn id="7" xr3:uid="{AAC6C4FD-799F-4646-B17E-E24AA4D9541B}" name="team-2-win" dataDxfId="1802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1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78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7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6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5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4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3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2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1" headerRowBorderDxfId="1570" tableBorderDxfId="1569" totalsRowBorderDxfId="1568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7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6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5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4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3" headerRowBorderDxfId="1562" tableBorderDxfId="1561" totalsRowBorderDxfId="1560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59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58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7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6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5" headerRowBorderDxfId="1554" tableBorderDxfId="1553" totalsRowBorderDxfId="1552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1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0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49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48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7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6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5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4">
      <calculatedColumnFormula>L3+L24+L45+L66+L87+L108</calculatedColumnFormula>
    </tableColumn>
    <tableColumn id="4" xr3:uid="{6AD8A7A2-0013-4031-8DAB-5AD3D8FCB173}" name="wins" dataDxfId="1543">
      <calculatedColumnFormula>M3+M24+M45+M66+M87+M108</calculatedColumnFormula>
    </tableColumn>
    <tableColumn id="5" xr3:uid="{B3552DFB-EAFC-4577-B811-AF0F9687BA5C}" name="battles-take-rate" dataDxfId="1542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1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0" headerRowBorderDxfId="1539" tableBorderDxfId="1538" totalsRowBorderDxfId="1537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6">
      <calculatedColumnFormula>L8+L29+L50+L71+L92+L113</calculatedColumnFormula>
    </tableColumn>
    <tableColumn id="3" xr3:uid="{8FEED0FA-3268-41B1-9503-BD07DCBD59EB}" name="wins" dataDxfId="1535">
      <calculatedColumnFormula>M8+M29+M50+M71+M92+M113</calculatedColumnFormula>
    </tableColumn>
    <tableColumn id="4" xr3:uid="{791570BF-CF63-4FF3-98A5-66F96870FBA2}" name="battles-take-rate" dataDxfId="1534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3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2" headerRowBorderDxfId="1531" tableBorderDxfId="1530" totalsRowBorderDxfId="1529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28">
      <calculatedColumnFormula>L13+L34+L55+L76+L97+L118</calculatedColumnFormula>
    </tableColumn>
    <tableColumn id="3" xr3:uid="{03C77734-0BE9-4820-9770-29ACD0AF0635}" name="wins" dataDxfId="1527">
      <calculatedColumnFormula>M13+M34+M55+M76+M97+M118</calculatedColumnFormula>
    </tableColumn>
    <tableColumn id="4" xr3:uid="{FE54A2A3-BC60-46B8-89C1-8C761FDDC67F}" name="battles-take-rate" dataDxfId="1526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5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4" headerRowBorderDxfId="1523" tableBorderDxfId="1522" totalsRowBorderDxfId="1521">
  <autoFilter ref="A17:E20" xr:uid="{2AADA4A0-2F4A-4009-8ECF-0BECA693390C}"/>
  <tableColumns count="5">
    <tableColumn id="1" xr3:uid="{87950E31-BAB1-44C5-9C72-3AB67D671CA7}" name="ability" dataDxfId="1520"/>
    <tableColumn id="2" xr3:uid="{C84CD939-93B2-4F85-A4F0-569665A45FE6}" name="takes" dataDxfId="1519">
      <calculatedColumnFormula>L18+L39+L60+L81+L102+L123</calculatedColumnFormula>
    </tableColumn>
    <tableColumn id="3" xr3:uid="{6B188D82-4BD2-4FF2-8C12-D56DAEB9B117}" name="wins" dataDxfId="1518">
      <calculatedColumnFormula>M18+M39+M60+M81+M102+M123</calculatedColumnFormula>
    </tableColumn>
    <tableColumn id="4" xr3:uid="{00FCF0E9-BE21-44DD-BE30-37EA8F3BBCFF}" name="battles-take-rate" dataDxfId="1517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6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0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9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8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5">
      <calculatedColumnFormula>R3+R24+R45+R66+R87+R108</calculatedColumnFormula>
    </tableColumn>
    <tableColumn id="4" xr3:uid="{6BFD5C7B-4CFB-4B7D-B8E9-5C10F667B91B}" name="chestpiece" dataDxfId="151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3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2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1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0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09" headerRowBorderDxfId="1508" tableBorderDxfId="1507" totalsRowBorderDxfId="1506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5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4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3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2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1" headerRowBorderDxfId="1500" tableBorderDxfId="1499" totalsRowBorderDxfId="1498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7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6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5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4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3" headerRowBorderDxfId="1492" tableBorderDxfId="1491" totalsRowBorderDxfId="1490">
  <autoFilter ref="K17:O20" xr:uid="{01E0B516-A92C-45D4-946B-0FCF2F31D98A}"/>
  <tableColumns count="5">
    <tableColumn id="1" xr3:uid="{AA1B6D33-74EE-498E-B851-AABC093752BF}" name="ability" dataDxfId="1489"/>
    <tableColumn id="2" xr3:uid="{638C4C88-BC79-4B67-BB2F-FBF29994B680}" name="takes" dataDxfId="1488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7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6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5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4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3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2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1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0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79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78" headerRowBorderDxfId="1477" tableBorderDxfId="1476" totalsRowBorderDxfId="1475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4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3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2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1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0" headerRowBorderDxfId="1469" tableBorderDxfId="1468" totalsRowBorderDxfId="1467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6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5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4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3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2" headerRowBorderDxfId="1461" tableBorderDxfId="1460" totalsRowBorderDxfId="1459">
  <autoFilter ref="K38:O41" xr:uid="{A1F38E75-59DE-4DB4-B81C-C0322397F6F7}"/>
  <tableColumns count="5">
    <tableColumn id="1" xr3:uid="{769AEF11-64B1-48E1-81F7-44ED789A5436}" name="ability" dataDxfId="1458"/>
    <tableColumn id="2" xr3:uid="{329ABE97-FD25-4B89-85FE-EF4B7E705884}" name="takes" dataDxfId="1457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6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5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4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7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3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2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1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0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49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48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7" headerRowBorderDxfId="1446" tableBorderDxfId="1445" totalsRowBorderDxfId="1444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3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2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1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0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39" headerRowBorderDxfId="1438" tableBorderDxfId="1437" totalsRowBorderDxfId="1436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5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4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3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2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1" headerRowBorderDxfId="1430" tableBorderDxfId="1429" totalsRowBorderDxfId="1428">
  <autoFilter ref="K59:O62" xr:uid="{DDB7F110-02A6-4F67-8266-251AF48CB7C0}"/>
  <tableColumns count="5">
    <tableColumn id="1" xr3:uid="{24AD3B9C-E89B-4255-AF6A-993728E1E88D}" name="ability" dataDxfId="1427"/>
    <tableColumn id="2" xr3:uid="{D8585D3A-FC34-4996-9EF2-60CC70EA9A7A}" name="takes" dataDxfId="1426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5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4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3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2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1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0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19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18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7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6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5" headerRowBorderDxfId="1414" tableBorderDxfId="1413" totalsRowBorderDxfId="1412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1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0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09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08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7" headerRowBorderDxfId="1406" tableBorderDxfId="1405" totalsRowBorderDxfId="1404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3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2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1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0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6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5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4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99" headerRowBorderDxfId="1398" tableBorderDxfId="1397" totalsRowBorderDxfId="1396">
  <autoFilter ref="K80:O83" xr:uid="{52A1E26F-8C1E-4E44-A492-D2899C5A6AF6}"/>
  <tableColumns count="5">
    <tableColumn id="1" xr3:uid="{169774FB-455A-4DE4-A18D-B9D975DF3A85}" name="ability" dataDxfId="1395"/>
    <tableColumn id="2" xr3:uid="{E20A1519-EC59-41A4-BE08-D8DBEAC7CA6C}" name="takes" dataDxfId="1394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3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2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1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0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89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88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7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6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5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4" headerRowBorderDxfId="1383" tableBorderDxfId="1382" totalsRowBorderDxfId="1381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0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79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78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7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6" headerRowBorderDxfId="1375" tableBorderDxfId="1374" totalsRowBorderDxfId="1373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2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1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0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69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68" headerRowBorderDxfId="1367" tableBorderDxfId="1366" totalsRowBorderDxfId="1365">
  <autoFilter ref="K101:O104" xr:uid="{3021A274-1944-499F-919F-F5D82E87C071}"/>
  <tableColumns count="5">
    <tableColumn id="1" xr3:uid="{6A10C915-2B4E-4171-B1A6-BA0E08BCB5E6}" name="ability" dataDxfId="1364"/>
    <tableColumn id="2" xr3:uid="{1B63CB98-3358-4BF6-B784-DAB5C7511C79}" name="takes" dataDxfId="1363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2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1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0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59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58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7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6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5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4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3" headerRowBorderDxfId="1352" tableBorderDxfId="1351" totalsRowBorderDxfId="1350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49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48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7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6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5" headerRowBorderDxfId="1344" tableBorderDxfId="1343" totalsRowBorderDxfId="1342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1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0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39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38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3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2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1" totalsRowDxfId="1790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7" headerRowBorderDxfId="1336" tableBorderDxfId="1335" totalsRowBorderDxfId="1334">
  <autoFilter ref="K122:O125" xr:uid="{865DBF38-999A-4183-A029-CB08FB30F44C}"/>
  <tableColumns count="5">
    <tableColumn id="1" xr3:uid="{41E29E68-60A8-423B-9021-7DFA08756E06}" name="ability" dataDxfId="1333"/>
    <tableColumn id="2" xr3:uid="{9CC3CC3F-42CE-4277-9DE5-B1A61D3DB62A}" name="takes" dataDxfId="1332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1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0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29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28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7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6">
      <calculatedColumnFormula>L3+L24+L45+L66+L87+L108</calculatedColumnFormula>
    </tableColumn>
    <tableColumn id="4" xr3:uid="{30745929-46B0-48D6-B955-7A2AC6D9C7E1}" name="wins" dataDxfId="1325">
      <calculatedColumnFormula>M3+M24+M45+M66+M87+M108</calculatedColumnFormula>
    </tableColumn>
    <tableColumn id="5" xr3:uid="{6D02BF52-C170-4CC1-9A86-21AB4BDB7626}" name="battles-take-rate" dataDxfId="1324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3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2" headerRowBorderDxfId="1321" tableBorderDxfId="1320" totalsRowBorderDxfId="1319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18">
      <calculatedColumnFormula>L8+L29+L50+L71+L92+L113</calculatedColumnFormula>
    </tableColumn>
    <tableColumn id="3" xr3:uid="{48DF5F5A-0975-4E8D-B144-712277591A94}" name="wins" dataDxfId="1317">
      <calculatedColumnFormula>M8+M29+M50+M71+M92+M113</calculatedColumnFormula>
    </tableColumn>
    <tableColumn id="4" xr3:uid="{268E7864-1892-40A3-BCCF-FE157CEB565E}" name="battles-take-rate" dataDxfId="1316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5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4" headerRowBorderDxfId="1313" tableBorderDxfId="1312" totalsRowBorderDxfId="1311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0">
      <calculatedColumnFormula>L13+L34+L55+L76+L97+L118</calculatedColumnFormula>
    </tableColumn>
    <tableColumn id="3" xr3:uid="{925C0493-2E5C-4E18-B248-24590FEA740E}" name="wins" dataDxfId="1309">
      <calculatedColumnFormula>M13+M34+M55+M76+M97+M118</calculatedColumnFormula>
    </tableColumn>
    <tableColumn id="4" xr3:uid="{7164F2B9-2D78-40B4-A513-E10635D154E9}" name="battles-take-rate" dataDxfId="1308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7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6" headerRowBorderDxfId="1305" tableBorderDxfId="1304" totalsRowBorderDxfId="1303">
  <autoFilter ref="A17:E20" xr:uid="{2AADA4A0-2F4A-4009-8ECF-0BECA693390C}"/>
  <tableColumns count="5">
    <tableColumn id="1" xr3:uid="{B55E8E85-9B14-4EFC-B40F-2ADF016F740F}" name="ability" dataDxfId="1302"/>
    <tableColumn id="2" xr3:uid="{076E566F-F5E9-47AA-B1B5-F3E7825F4999}" name="takes" dataDxfId="1301">
      <calculatedColumnFormula>L18+L39+L60+L81+L102+L123</calculatedColumnFormula>
    </tableColumn>
    <tableColumn id="3" xr3:uid="{322B89F0-887F-4B61-98E6-57F772ED36C6}" name="wins" dataDxfId="1300">
      <calculatedColumnFormula>M18+M39+M60+M81+M102+M123</calculatedColumnFormula>
    </tableColumn>
    <tableColumn id="4" xr3:uid="{DD000198-4098-4FC5-A3B5-6351F4B85BF2}" name="battles-take-rate" dataDxfId="1299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98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7">
      <calculatedColumnFormula>R3+R24+R45+R66+R87+R108</calculatedColumnFormula>
    </tableColumn>
    <tableColumn id="4" xr3:uid="{59B0F45B-3883-4EBA-BA1D-13246CC2FDE2}" name="chestpiece" dataDxfId="129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5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4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3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2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1" headerRowBorderDxfId="1290" tableBorderDxfId="1289" totalsRowBorderDxfId="1288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7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6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5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4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3" headerRowBorderDxfId="1282" tableBorderDxfId="1281" totalsRowBorderDxfId="1280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79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78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7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6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4" workbookViewId="0">
      <selection activeCell="AM9" sqref="AM9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419</v>
      </c>
      <c r="B2">
        <v>0</v>
      </c>
      <c r="C2" t="s">
        <v>53</v>
      </c>
      <c r="D2">
        <v>1</v>
      </c>
      <c r="E2">
        <v>1</v>
      </c>
      <c r="F2">
        <v>1</v>
      </c>
      <c r="G2" t="s">
        <v>54</v>
      </c>
      <c r="K2" t="s">
        <v>56</v>
      </c>
      <c r="L2">
        <v>2</v>
      </c>
      <c r="N2">
        <v>1</v>
      </c>
      <c r="O2" t="s">
        <v>57</v>
      </c>
      <c r="P2" t="s">
        <v>122</v>
      </c>
      <c r="Q2" t="s">
        <v>85</v>
      </c>
      <c r="S2" t="s">
        <v>48</v>
      </c>
      <c r="T2">
        <v>3</v>
      </c>
      <c r="V2">
        <v>2</v>
      </c>
      <c r="W2" t="s">
        <v>49</v>
      </c>
      <c r="AA2" t="s">
        <v>33</v>
      </c>
      <c r="AB2">
        <v>2</v>
      </c>
      <c r="AD2">
        <v>1</v>
      </c>
      <c r="AE2" t="s">
        <v>46</v>
      </c>
      <c r="AI2">
        <v>7</v>
      </c>
      <c r="AJ2">
        <v>39</v>
      </c>
    </row>
    <row r="3" spans="1:36" x14ac:dyDescent="0.4">
      <c r="A3" t="s">
        <v>420</v>
      </c>
      <c r="B3">
        <v>1</v>
      </c>
      <c r="C3" t="s">
        <v>48</v>
      </c>
      <c r="D3">
        <v>2</v>
      </c>
      <c r="F3">
        <v>1</v>
      </c>
      <c r="G3" t="s">
        <v>49</v>
      </c>
      <c r="K3" t="s">
        <v>43</v>
      </c>
      <c r="L3">
        <v>2</v>
      </c>
      <c r="N3">
        <v>2</v>
      </c>
      <c r="O3" t="s">
        <v>135</v>
      </c>
      <c r="P3" t="s">
        <v>99</v>
      </c>
      <c r="Q3" t="s">
        <v>137</v>
      </c>
      <c r="S3" t="s">
        <v>53</v>
      </c>
      <c r="T3">
        <v>2</v>
      </c>
      <c r="U3">
        <v>1</v>
      </c>
      <c r="V3">
        <v>1</v>
      </c>
      <c r="W3" t="s">
        <v>54</v>
      </c>
      <c r="AA3" t="s">
        <v>56</v>
      </c>
      <c r="AB3">
        <v>1</v>
      </c>
      <c r="AD3">
        <v>1</v>
      </c>
      <c r="AE3" t="s">
        <v>120</v>
      </c>
      <c r="AF3" t="s">
        <v>69</v>
      </c>
      <c r="AI3">
        <v>7</v>
      </c>
      <c r="AJ3">
        <v>32</v>
      </c>
    </row>
    <row r="4" spans="1:36" x14ac:dyDescent="0.4">
      <c r="A4" t="s">
        <v>421</v>
      </c>
      <c r="B4">
        <v>2</v>
      </c>
      <c r="C4" t="s">
        <v>53</v>
      </c>
      <c r="D4">
        <v>1</v>
      </c>
      <c r="E4">
        <v>1</v>
      </c>
      <c r="F4">
        <v>1</v>
      </c>
      <c r="G4" t="s">
        <v>54</v>
      </c>
      <c r="K4" t="s">
        <v>56</v>
      </c>
      <c r="L4">
        <v>1</v>
      </c>
      <c r="N4">
        <v>1</v>
      </c>
      <c r="O4" t="s">
        <v>57</v>
      </c>
      <c r="P4" t="s">
        <v>122</v>
      </c>
      <c r="S4" t="s">
        <v>48</v>
      </c>
      <c r="T4">
        <v>1</v>
      </c>
      <c r="V4">
        <v>1</v>
      </c>
      <c r="W4" t="s">
        <v>49</v>
      </c>
      <c r="X4" t="s">
        <v>84</v>
      </c>
      <c r="AA4" t="s">
        <v>45</v>
      </c>
      <c r="AB4">
        <v>2</v>
      </c>
      <c r="AD4">
        <v>1</v>
      </c>
      <c r="AE4" t="s">
        <v>47</v>
      </c>
      <c r="AI4">
        <v>3</v>
      </c>
      <c r="AJ4">
        <v>28</v>
      </c>
    </row>
    <row r="5" spans="1:36" x14ac:dyDescent="0.4">
      <c r="A5" t="s">
        <v>422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H5" t="s">
        <v>83</v>
      </c>
      <c r="K5" t="s">
        <v>56</v>
      </c>
      <c r="L5">
        <v>1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1</v>
      </c>
      <c r="V5">
        <v>1</v>
      </c>
      <c r="W5" t="s">
        <v>49</v>
      </c>
      <c r="X5" t="s">
        <v>50</v>
      </c>
      <c r="AA5" t="s">
        <v>63</v>
      </c>
      <c r="AB5">
        <v>1</v>
      </c>
      <c r="AD5">
        <v>1</v>
      </c>
      <c r="AE5" t="s">
        <v>103</v>
      </c>
      <c r="AI5">
        <v>5</v>
      </c>
      <c r="AJ5">
        <v>23</v>
      </c>
    </row>
    <row r="6" spans="1:36" x14ac:dyDescent="0.4">
      <c r="A6" t="s">
        <v>423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55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5</v>
      </c>
      <c r="AJ6">
        <v>31</v>
      </c>
    </row>
    <row r="7" spans="1:36" x14ac:dyDescent="0.4">
      <c r="A7" t="s">
        <v>424</v>
      </c>
      <c r="B7">
        <v>5</v>
      </c>
      <c r="C7" t="s">
        <v>53</v>
      </c>
      <c r="D7">
        <v>1</v>
      </c>
      <c r="E7">
        <v>1</v>
      </c>
      <c r="F7">
        <v>3</v>
      </c>
      <c r="G7" t="s">
        <v>111</v>
      </c>
      <c r="K7" t="s">
        <v>56</v>
      </c>
      <c r="L7">
        <v>1</v>
      </c>
      <c r="N7">
        <v>2</v>
      </c>
      <c r="O7" t="s">
        <v>120</v>
      </c>
      <c r="P7" t="s">
        <v>69</v>
      </c>
      <c r="Q7" t="s">
        <v>87</v>
      </c>
      <c r="S7" t="s">
        <v>33</v>
      </c>
      <c r="T7">
        <v>3</v>
      </c>
      <c r="V7">
        <v>1</v>
      </c>
      <c r="W7" t="s">
        <v>46</v>
      </c>
      <c r="AA7" t="s">
        <v>43</v>
      </c>
      <c r="AB7">
        <v>2</v>
      </c>
      <c r="AD7">
        <v>1</v>
      </c>
      <c r="AE7" t="s">
        <v>135</v>
      </c>
      <c r="AF7" t="s">
        <v>99</v>
      </c>
      <c r="AG7" t="s">
        <v>137</v>
      </c>
      <c r="AI7">
        <v>10</v>
      </c>
      <c r="AJ7">
        <v>30</v>
      </c>
    </row>
    <row r="8" spans="1:36" x14ac:dyDescent="0.4">
      <c r="A8" t="s">
        <v>425</v>
      </c>
      <c r="B8">
        <v>6</v>
      </c>
      <c r="C8" t="s">
        <v>33</v>
      </c>
      <c r="D8">
        <v>1</v>
      </c>
      <c r="F8">
        <v>1</v>
      </c>
      <c r="G8" t="s">
        <v>46</v>
      </c>
      <c r="K8" t="s">
        <v>45</v>
      </c>
      <c r="L8">
        <v>3</v>
      </c>
      <c r="N8">
        <v>3</v>
      </c>
      <c r="O8" t="s">
        <v>47</v>
      </c>
      <c r="P8" t="s">
        <v>76</v>
      </c>
      <c r="Q8" t="s">
        <v>93</v>
      </c>
      <c r="R8" t="s">
        <v>94</v>
      </c>
      <c r="S8" t="s">
        <v>53</v>
      </c>
      <c r="T8">
        <v>1</v>
      </c>
      <c r="U8">
        <v>1</v>
      </c>
      <c r="V8">
        <v>3</v>
      </c>
      <c r="W8" t="s">
        <v>54</v>
      </c>
      <c r="X8" t="s">
        <v>83</v>
      </c>
      <c r="AA8" t="s">
        <v>56</v>
      </c>
      <c r="AB8">
        <v>1</v>
      </c>
      <c r="AD8">
        <v>2</v>
      </c>
      <c r="AE8" t="s">
        <v>68</v>
      </c>
      <c r="AI8">
        <v>11</v>
      </c>
      <c r="AJ8">
        <v>37</v>
      </c>
    </row>
    <row r="9" spans="1:36" x14ac:dyDescent="0.4">
      <c r="A9" t="s">
        <v>426</v>
      </c>
      <c r="B9">
        <v>7</v>
      </c>
      <c r="C9" t="s">
        <v>53</v>
      </c>
      <c r="D9">
        <v>2</v>
      </c>
      <c r="E9">
        <v>1</v>
      </c>
      <c r="F9">
        <v>1</v>
      </c>
      <c r="G9" t="s">
        <v>54</v>
      </c>
      <c r="H9" t="s">
        <v>55</v>
      </c>
      <c r="I9" t="s">
        <v>114</v>
      </c>
      <c r="K9" t="s">
        <v>56</v>
      </c>
      <c r="L9">
        <v>1</v>
      </c>
      <c r="N9">
        <v>1</v>
      </c>
      <c r="O9" t="s">
        <v>57</v>
      </c>
      <c r="P9" t="s">
        <v>122</v>
      </c>
      <c r="Q9" t="s">
        <v>85</v>
      </c>
      <c r="S9" t="s">
        <v>33</v>
      </c>
      <c r="T9">
        <v>1</v>
      </c>
      <c r="V9">
        <v>1</v>
      </c>
      <c r="W9" t="s">
        <v>46</v>
      </c>
      <c r="AA9" t="s">
        <v>63</v>
      </c>
      <c r="AB9">
        <v>2</v>
      </c>
      <c r="AD9">
        <v>2</v>
      </c>
      <c r="AE9" t="s">
        <v>103</v>
      </c>
      <c r="AI9">
        <v>7</v>
      </c>
      <c r="AJ9">
        <v>27</v>
      </c>
    </row>
    <row r="10" spans="1:36" x14ac:dyDescent="0.4">
      <c r="A10" t="s">
        <v>427</v>
      </c>
      <c r="B10">
        <v>8</v>
      </c>
      <c r="C10" t="s">
        <v>33</v>
      </c>
      <c r="D10">
        <v>2</v>
      </c>
      <c r="F10">
        <v>2</v>
      </c>
      <c r="G10" t="s">
        <v>46</v>
      </c>
      <c r="H10" t="s">
        <v>35</v>
      </c>
      <c r="I10" t="s">
        <v>131</v>
      </c>
      <c r="K10" t="s">
        <v>38</v>
      </c>
      <c r="L10">
        <v>3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2</v>
      </c>
      <c r="W10" t="s">
        <v>54</v>
      </c>
      <c r="X10" t="s">
        <v>83</v>
      </c>
      <c r="AA10" t="s">
        <v>56</v>
      </c>
      <c r="AB10">
        <v>1</v>
      </c>
      <c r="AD10">
        <v>1</v>
      </c>
      <c r="AE10" t="s">
        <v>68</v>
      </c>
      <c r="AI10">
        <v>9</v>
      </c>
      <c r="AJ10">
        <v>26</v>
      </c>
    </row>
    <row r="11" spans="1:36" x14ac:dyDescent="0.4">
      <c r="A11" t="s">
        <v>428</v>
      </c>
      <c r="B11">
        <v>9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113</v>
      </c>
      <c r="K11" t="s">
        <v>56</v>
      </c>
      <c r="L11">
        <v>2</v>
      </c>
      <c r="N11">
        <v>3</v>
      </c>
      <c r="O11" t="s">
        <v>68</v>
      </c>
      <c r="S11" t="s">
        <v>43</v>
      </c>
      <c r="T11">
        <v>2</v>
      </c>
      <c r="V11">
        <v>1</v>
      </c>
      <c r="W11" t="s">
        <v>135</v>
      </c>
      <c r="X11" t="s">
        <v>99</v>
      </c>
      <c r="AA11" t="s">
        <v>45</v>
      </c>
      <c r="AB11">
        <v>3</v>
      </c>
      <c r="AD11">
        <v>1</v>
      </c>
      <c r="AE11" t="s">
        <v>47</v>
      </c>
      <c r="AF11" t="s">
        <v>76</v>
      </c>
      <c r="AI11">
        <v>9</v>
      </c>
      <c r="AJ11">
        <v>31</v>
      </c>
    </row>
    <row r="12" spans="1:36" x14ac:dyDescent="0.4">
      <c r="A12" t="s">
        <v>429</v>
      </c>
      <c r="B12">
        <v>10</v>
      </c>
      <c r="C12" t="s">
        <v>53</v>
      </c>
      <c r="D12">
        <v>3</v>
      </c>
      <c r="E12">
        <v>1</v>
      </c>
      <c r="F12">
        <v>2</v>
      </c>
      <c r="G12" t="s">
        <v>54</v>
      </c>
      <c r="H12" t="s">
        <v>83</v>
      </c>
      <c r="I12" t="s">
        <v>97</v>
      </c>
      <c r="K12" t="s">
        <v>56</v>
      </c>
      <c r="L12">
        <v>1</v>
      </c>
      <c r="N12">
        <v>1</v>
      </c>
      <c r="O12" t="s">
        <v>57</v>
      </c>
      <c r="P12" t="s">
        <v>122</v>
      </c>
      <c r="S12" t="s">
        <v>43</v>
      </c>
      <c r="T12">
        <v>2</v>
      </c>
      <c r="V12">
        <v>3</v>
      </c>
      <c r="W12" t="s">
        <v>135</v>
      </c>
      <c r="X12" t="s">
        <v>99</v>
      </c>
      <c r="AA12" t="s">
        <v>63</v>
      </c>
      <c r="AB12">
        <v>1</v>
      </c>
      <c r="AD12">
        <v>1</v>
      </c>
      <c r="AE12" t="s">
        <v>103</v>
      </c>
      <c r="AI12">
        <v>10</v>
      </c>
      <c r="AJ12">
        <v>40</v>
      </c>
    </row>
    <row r="13" spans="1:36" x14ac:dyDescent="0.4">
      <c r="A13" t="s">
        <v>430</v>
      </c>
      <c r="B13">
        <v>11</v>
      </c>
      <c r="C13" t="s">
        <v>53</v>
      </c>
      <c r="D13">
        <v>3</v>
      </c>
      <c r="E13">
        <v>1</v>
      </c>
      <c r="F13">
        <v>1</v>
      </c>
      <c r="G13" t="s">
        <v>54</v>
      </c>
      <c r="H13" t="s">
        <v>83</v>
      </c>
      <c r="K13" t="s">
        <v>56</v>
      </c>
      <c r="L13">
        <v>2</v>
      </c>
      <c r="N13">
        <v>1</v>
      </c>
      <c r="O13" t="s">
        <v>68</v>
      </c>
      <c r="S13" t="s">
        <v>43</v>
      </c>
      <c r="T13">
        <v>1</v>
      </c>
      <c r="V13">
        <v>3</v>
      </c>
      <c r="W13" t="s">
        <v>135</v>
      </c>
      <c r="X13" t="s">
        <v>74</v>
      </c>
      <c r="Y13" t="s">
        <v>75</v>
      </c>
      <c r="AA13" t="s">
        <v>38</v>
      </c>
      <c r="AB13">
        <v>1</v>
      </c>
      <c r="AC13">
        <v>1</v>
      </c>
      <c r="AD13">
        <v>1</v>
      </c>
      <c r="AE13" t="s">
        <v>152</v>
      </c>
      <c r="AF13" t="s">
        <v>40</v>
      </c>
      <c r="AI13">
        <v>9</v>
      </c>
      <c r="AJ13">
        <v>31</v>
      </c>
    </row>
    <row r="14" spans="1:36" x14ac:dyDescent="0.4">
      <c r="A14" t="s">
        <v>431</v>
      </c>
      <c r="B14">
        <v>12</v>
      </c>
      <c r="C14" t="s">
        <v>45</v>
      </c>
      <c r="D14">
        <v>3</v>
      </c>
      <c r="F14">
        <v>1</v>
      </c>
      <c r="G14" t="s">
        <v>86</v>
      </c>
      <c r="K14" t="s">
        <v>63</v>
      </c>
      <c r="L14">
        <v>2</v>
      </c>
      <c r="N14">
        <v>1</v>
      </c>
      <c r="O14" t="s">
        <v>103</v>
      </c>
      <c r="P14" t="s">
        <v>95</v>
      </c>
      <c r="S14" t="s">
        <v>53</v>
      </c>
      <c r="T14">
        <v>1</v>
      </c>
      <c r="U14">
        <v>1</v>
      </c>
      <c r="V14">
        <v>1</v>
      </c>
      <c r="W14" t="s">
        <v>54</v>
      </c>
      <c r="AA14" t="s">
        <v>56</v>
      </c>
      <c r="AB14">
        <v>3</v>
      </c>
      <c r="AD14">
        <v>1</v>
      </c>
      <c r="AE14" t="s">
        <v>57</v>
      </c>
      <c r="AI14">
        <v>6</v>
      </c>
      <c r="AJ14">
        <v>28</v>
      </c>
    </row>
    <row r="15" spans="1:36" x14ac:dyDescent="0.4">
      <c r="A15" t="s">
        <v>432</v>
      </c>
      <c r="B15">
        <v>13</v>
      </c>
      <c r="C15" t="s">
        <v>53</v>
      </c>
      <c r="D15">
        <v>2</v>
      </c>
      <c r="E15">
        <v>1</v>
      </c>
      <c r="F15">
        <v>1</v>
      </c>
      <c r="G15" t="s">
        <v>54</v>
      </c>
      <c r="H15" t="s">
        <v>55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3</v>
      </c>
      <c r="V15">
        <v>1</v>
      </c>
      <c r="W15" t="s">
        <v>47</v>
      </c>
      <c r="AA15" t="s">
        <v>38</v>
      </c>
      <c r="AB15">
        <v>1</v>
      </c>
      <c r="AC15">
        <v>1</v>
      </c>
      <c r="AD15">
        <v>1</v>
      </c>
      <c r="AE15" t="s">
        <v>152</v>
      </c>
      <c r="AI15">
        <v>4</v>
      </c>
      <c r="AJ15">
        <v>22</v>
      </c>
    </row>
    <row r="16" spans="1:36" x14ac:dyDescent="0.4">
      <c r="A16" t="s">
        <v>433</v>
      </c>
      <c r="B16">
        <v>14</v>
      </c>
      <c r="C16" t="s">
        <v>53</v>
      </c>
      <c r="D16">
        <v>1</v>
      </c>
      <c r="E16">
        <v>1</v>
      </c>
      <c r="F16">
        <v>1</v>
      </c>
      <c r="G16" t="s">
        <v>54</v>
      </c>
      <c r="H16" t="s">
        <v>55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S16" t="s">
        <v>63</v>
      </c>
      <c r="T16">
        <v>2</v>
      </c>
      <c r="V16">
        <v>1</v>
      </c>
      <c r="W16" t="s">
        <v>103</v>
      </c>
      <c r="AA16" t="s">
        <v>38</v>
      </c>
      <c r="AB16">
        <v>1</v>
      </c>
      <c r="AC16">
        <v>1</v>
      </c>
      <c r="AD16">
        <v>1</v>
      </c>
      <c r="AE16" t="s">
        <v>152</v>
      </c>
      <c r="AI16">
        <v>3</v>
      </c>
      <c r="AJ16">
        <v>22</v>
      </c>
    </row>
    <row r="17" spans="1:36" x14ac:dyDescent="0.4">
      <c r="A17" t="s">
        <v>434</v>
      </c>
      <c r="B17">
        <v>15</v>
      </c>
      <c r="C17" t="s">
        <v>53</v>
      </c>
      <c r="D17">
        <v>1</v>
      </c>
      <c r="E17">
        <v>1</v>
      </c>
      <c r="F17">
        <v>1</v>
      </c>
      <c r="G17" t="s">
        <v>54</v>
      </c>
      <c r="K17" t="s">
        <v>48</v>
      </c>
      <c r="L17">
        <v>3</v>
      </c>
      <c r="N17">
        <v>3</v>
      </c>
      <c r="O17" t="s">
        <v>89</v>
      </c>
      <c r="P17" t="s">
        <v>71</v>
      </c>
      <c r="Q17" t="s">
        <v>51</v>
      </c>
      <c r="R17" t="s">
        <v>128</v>
      </c>
      <c r="S17" t="s">
        <v>56</v>
      </c>
      <c r="T17">
        <v>2</v>
      </c>
      <c r="V17">
        <v>1</v>
      </c>
      <c r="W17" t="s">
        <v>57</v>
      </c>
      <c r="X17" t="s">
        <v>122</v>
      </c>
      <c r="Y17" t="s">
        <v>87</v>
      </c>
      <c r="Z17" t="s">
        <v>124</v>
      </c>
      <c r="AA17" t="s">
        <v>33</v>
      </c>
      <c r="AB17">
        <v>3</v>
      </c>
      <c r="AD17">
        <v>1</v>
      </c>
      <c r="AE17" t="s">
        <v>46</v>
      </c>
      <c r="AF17" t="s">
        <v>35</v>
      </c>
      <c r="AG17" t="s">
        <v>132</v>
      </c>
      <c r="AH17" t="s">
        <v>134</v>
      </c>
      <c r="AI17">
        <v>16</v>
      </c>
      <c r="AJ17">
        <v>57</v>
      </c>
    </row>
    <row r="18" spans="1:36" x14ac:dyDescent="0.4">
      <c r="A18" t="s">
        <v>435</v>
      </c>
      <c r="B18">
        <v>16</v>
      </c>
      <c r="C18" t="s">
        <v>53</v>
      </c>
      <c r="D18">
        <v>3</v>
      </c>
      <c r="E18">
        <v>2</v>
      </c>
      <c r="F18">
        <v>3</v>
      </c>
      <c r="G18" t="s">
        <v>54</v>
      </c>
      <c r="H18" t="s">
        <v>83</v>
      </c>
      <c r="I18" t="s">
        <v>97</v>
      </c>
      <c r="K18" t="s">
        <v>48</v>
      </c>
      <c r="L18">
        <v>3</v>
      </c>
      <c r="N18">
        <v>1</v>
      </c>
      <c r="O18" t="s">
        <v>89</v>
      </c>
      <c r="S18" t="s">
        <v>56</v>
      </c>
      <c r="T18">
        <v>3</v>
      </c>
      <c r="V18">
        <v>1</v>
      </c>
      <c r="W18" t="s">
        <v>57</v>
      </c>
      <c r="X18" t="s">
        <v>122</v>
      </c>
      <c r="Y18" t="s">
        <v>85</v>
      </c>
      <c r="Z18" t="s">
        <v>125</v>
      </c>
      <c r="AA18" t="s">
        <v>43</v>
      </c>
      <c r="AB18">
        <v>1</v>
      </c>
      <c r="AD18">
        <v>1</v>
      </c>
      <c r="AE18" t="s">
        <v>135</v>
      </c>
      <c r="AF18" t="s">
        <v>99</v>
      </c>
      <c r="AI18">
        <v>15</v>
      </c>
      <c r="AJ18">
        <v>34</v>
      </c>
    </row>
    <row r="19" spans="1:36" x14ac:dyDescent="0.4">
      <c r="A19" t="s">
        <v>436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H19" t="s">
        <v>83</v>
      </c>
      <c r="K19" t="s">
        <v>48</v>
      </c>
      <c r="L19">
        <v>2</v>
      </c>
      <c r="N19">
        <v>1</v>
      </c>
      <c r="O19" t="s">
        <v>89</v>
      </c>
      <c r="S19" t="s">
        <v>56</v>
      </c>
      <c r="T19">
        <v>1</v>
      </c>
      <c r="V19">
        <v>2</v>
      </c>
      <c r="W19" t="s">
        <v>57</v>
      </c>
      <c r="X19" t="s">
        <v>122</v>
      </c>
      <c r="AA19" t="s">
        <v>45</v>
      </c>
      <c r="AB19">
        <v>2</v>
      </c>
      <c r="AD19">
        <v>1</v>
      </c>
      <c r="AE19" t="s">
        <v>47</v>
      </c>
      <c r="AI19">
        <v>6</v>
      </c>
      <c r="AJ19">
        <v>24</v>
      </c>
    </row>
    <row r="20" spans="1:36" x14ac:dyDescent="0.4">
      <c r="A20" t="s">
        <v>437</v>
      </c>
      <c r="B20">
        <v>18</v>
      </c>
      <c r="C20" t="s">
        <v>56</v>
      </c>
      <c r="D20">
        <v>1</v>
      </c>
      <c r="F20">
        <v>1</v>
      </c>
      <c r="G20" t="s">
        <v>57</v>
      </c>
      <c r="H20" t="s">
        <v>122</v>
      </c>
      <c r="K20" t="s">
        <v>63</v>
      </c>
      <c r="L20">
        <v>2</v>
      </c>
      <c r="N20">
        <v>1</v>
      </c>
      <c r="O20" t="s">
        <v>103</v>
      </c>
      <c r="S20" t="s">
        <v>53</v>
      </c>
      <c r="T20">
        <v>2</v>
      </c>
      <c r="U20">
        <v>1</v>
      </c>
      <c r="V20">
        <v>1</v>
      </c>
      <c r="W20" t="s">
        <v>54</v>
      </c>
      <c r="AA20" t="s">
        <v>48</v>
      </c>
      <c r="AB20">
        <v>1</v>
      </c>
      <c r="AD20">
        <v>1</v>
      </c>
      <c r="AE20" t="s">
        <v>49</v>
      </c>
      <c r="AI20">
        <v>3</v>
      </c>
      <c r="AJ20">
        <v>26</v>
      </c>
    </row>
    <row r="21" spans="1:36" x14ac:dyDescent="0.4">
      <c r="A21" t="s">
        <v>438</v>
      </c>
      <c r="B21">
        <v>19</v>
      </c>
      <c r="C21" t="s">
        <v>53</v>
      </c>
      <c r="D21">
        <v>2</v>
      </c>
      <c r="E21">
        <v>1</v>
      </c>
      <c r="F21">
        <v>1</v>
      </c>
      <c r="G21" t="s">
        <v>54</v>
      </c>
      <c r="H21" t="s">
        <v>55</v>
      </c>
      <c r="I21" t="s">
        <v>114</v>
      </c>
      <c r="K21" t="s">
        <v>48</v>
      </c>
      <c r="L21">
        <v>1</v>
      </c>
      <c r="N21">
        <v>1</v>
      </c>
      <c r="O21" t="s">
        <v>49</v>
      </c>
      <c r="P21" t="s">
        <v>71</v>
      </c>
      <c r="S21" t="s">
        <v>56</v>
      </c>
      <c r="T21">
        <v>1</v>
      </c>
      <c r="V21">
        <v>1</v>
      </c>
      <c r="W21" t="s">
        <v>57</v>
      </c>
      <c r="AA21" t="s">
        <v>38</v>
      </c>
      <c r="AB21">
        <v>3</v>
      </c>
      <c r="AC21">
        <v>1</v>
      </c>
      <c r="AD21">
        <v>2</v>
      </c>
      <c r="AE21" t="s">
        <v>152</v>
      </c>
      <c r="AF21" t="s">
        <v>40</v>
      </c>
      <c r="AI21">
        <v>8</v>
      </c>
      <c r="AJ21">
        <v>36</v>
      </c>
    </row>
    <row r="22" spans="1:36" x14ac:dyDescent="0.4">
      <c r="A22" t="s">
        <v>439</v>
      </c>
      <c r="B22">
        <v>20</v>
      </c>
      <c r="C22" t="s">
        <v>33</v>
      </c>
      <c r="D22">
        <v>3</v>
      </c>
      <c r="F22">
        <v>1</v>
      </c>
      <c r="G22" t="s">
        <v>46</v>
      </c>
      <c r="H22" t="s">
        <v>66</v>
      </c>
      <c r="I22" t="s">
        <v>132</v>
      </c>
      <c r="K22" t="s">
        <v>43</v>
      </c>
      <c r="L22">
        <v>1</v>
      </c>
      <c r="N22">
        <v>1</v>
      </c>
      <c r="O22" t="s">
        <v>135</v>
      </c>
      <c r="P22" t="s">
        <v>99</v>
      </c>
      <c r="S22" t="s">
        <v>53</v>
      </c>
      <c r="T22">
        <v>1</v>
      </c>
      <c r="U22">
        <v>1</v>
      </c>
      <c r="V22">
        <v>2</v>
      </c>
      <c r="W22" t="s">
        <v>54</v>
      </c>
      <c r="AA22" t="s">
        <v>48</v>
      </c>
      <c r="AB22">
        <v>1</v>
      </c>
      <c r="AD22">
        <v>1</v>
      </c>
      <c r="AE22" t="s">
        <v>89</v>
      </c>
      <c r="AI22">
        <v>6</v>
      </c>
      <c r="AJ22">
        <v>30</v>
      </c>
    </row>
    <row r="23" spans="1:36" x14ac:dyDescent="0.4">
      <c r="A23" t="s">
        <v>440</v>
      </c>
      <c r="B23">
        <v>21</v>
      </c>
      <c r="C23" t="s">
        <v>33</v>
      </c>
      <c r="D23">
        <v>2</v>
      </c>
      <c r="F23">
        <v>1</v>
      </c>
      <c r="G23" t="s">
        <v>46</v>
      </c>
      <c r="K23" t="s">
        <v>45</v>
      </c>
      <c r="L23">
        <v>3</v>
      </c>
      <c r="N23">
        <v>3</v>
      </c>
      <c r="O23" t="s">
        <v>47</v>
      </c>
      <c r="P23" t="s">
        <v>76</v>
      </c>
      <c r="Q23" t="s">
        <v>93</v>
      </c>
      <c r="R23" t="s">
        <v>143</v>
      </c>
      <c r="S23" t="s">
        <v>53</v>
      </c>
      <c r="T23">
        <v>1</v>
      </c>
      <c r="U23">
        <v>1</v>
      </c>
      <c r="V23">
        <v>1</v>
      </c>
      <c r="W23" t="s">
        <v>54</v>
      </c>
      <c r="AA23" t="s">
        <v>48</v>
      </c>
      <c r="AB23">
        <v>1</v>
      </c>
      <c r="AD23">
        <v>3</v>
      </c>
      <c r="AE23" t="s">
        <v>89</v>
      </c>
      <c r="AF23" t="s">
        <v>84</v>
      </c>
      <c r="AG23" t="s">
        <v>90</v>
      </c>
      <c r="AH23" t="s">
        <v>128</v>
      </c>
      <c r="AI23">
        <v>13</v>
      </c>
      <c r="AJ23">
        <v>54</v>
      </c>
    </row>
    <row r="24" spans="1:36" x14ac:dyDescent="0.4">
      <c r="A24" t="s">
        <v>441</v>
      </c>
      <c r="B24">
        <v>22</v>
      </c>
      <c r="C24" t="s">
        <v>33</v>
      </c>
      <c r="D24">
        <v>3</v>
      </c>
      <c r="F24">
        <v>1</v>
      </c>
      <c r="G24" t="s">
        <v>46</v>
      </c>
      <c r="K24" t="s">
        <v>63</v>
      </c>
      <c r="L24">
        <v>1</v>
      </c>
      <c r="N24">
        <v>1</v>
      </c>
      <c r="O24" t="s">
        <v>103</v>
      </c>
      <c r="P24" t="s">
        <v>95</v>
      </c>
      <c r="S24" t="s">
        <v>53</v>
      </c>
      <c r="T24">
        <v>1</v>
      </c>
      <c r="U24">
        <v>1</v>
      </c>
      <c r="V24">
        <v>1</v>
      </c>
      <c r="W24" t="s">
        <v>54</v>
      </c>
      <c r="AA24" t="s">
        <v>48</v>
      </c>
      <c r="AB24">
        <v>1</v>
      </c>
      <c r="AD24">
        <v>1</v>
      </c>
      <c r="AE24" t="s">
        <v>49</v>
      </c>
      <c r="AI24">
        <v>3</v>
      </c>
      <c r="AJ24">
        <v>23</v>
      </c>
    </row>
    <row r="25" spans="1:36" x14ac:dyDescent="0.4">
      <c r="A25" t="s">
        <v>442</v>
      </c>
      <c r="B25">
        <v>23</v>
      </c>
      <c r="C25" t="s">
        <v>33</v>
      </c>
      <c r="D25">
        <v>2</v>
      </c>
      <c r="F25">
        <v>1</v>
      </c>
      <c r="G25" t="s">
        <v>46</v>
      </c>
      <c r="H25" t="s">
        <v>35</v>
      </c>
      <c r="K25" t="s">
        <v>38</v>
      </c>
      <c r="L25">
        <v>3</v>
      </c>
      <c r="M25">
        <v>1</v>
      </c>
      <c r="N25">
        <v>1</v>
      </c>
      <c r="O25" t="s">
        <v>152</v>
      </c>
      <c r="S25" t="s">
        <v>53</v>
      </c>
      <c r="T25">
        <v>2</v>
      </c>
      <c r="U25">
        <v>1</v>
      </c>
      <c r="V25">
        <v>1</v>
      </c>
      <c r="W25" t="s">
        <v>54</v>
      </c>
      <c r="X25" t="s">
        <v>55</v>
      </c>
      <c r="AA25" t="s">
        <v>48</v>
      </c>
      <c r="AB25">
        <v>1</v>
      </c>
      <c r="AD25">
        <v>1</v>
      </c>
      <c r="AE25" t="s">
        <v>89</v>
      </c>
      <c r="AI25">
        <v>6</v>
      </c>
      <c r="AJ25">
        <v>21</v>
      </c>
    </row>
    <row r="26" spans="1:36" x14ac:dyDescent="0.4">
      <c r="A26" t="s">
        <v>443</v>
      </c>
      <c r="B26">
        <v>24</v>
      </c>
      <c r="C26" t="s">
        <v>43</v>
      </c>
      <c r="D26">
        <v>1</v>
      </c>
      <c r="F26">
        <v>1</v>
      </c>
      <c r="G26" t="s">
        <v>135</v>
      </c>
      <c r="H26" t="s">
        <v>99</v>
      </c>
      <c r="K26" t="s">
        <v>45</v>
      </c>
      <c r="L26">
        <v>3</v>
      </c>
      <c r="N26">
        <v>1</v>
      </c>
      <c r="O26" t="s">
        <v>47</v>
      </c>
      <c r="P26" t="s">
        <v>92</v>
      </c>
      <c r="Q26" t="s">
        <v>93</v>
      </c>
      <c r="S26" t="s">
        <v>53</v>
      </c>
      <c r="T26">
        <v>1</v>
      </c>
      <c r="U26">
        <v>1</v>
      </c>
      <c r="V26">
        <v>1</v>
      </c>
      <c r="W26" t="s">
        <v>54</v>
      </c>
      <c r="AA26" t="s">
        <v>48</v>
      </c>
      <c r="AB26">
        <v>1</v>
      </c>
      <c r="AD26">
        <v>1</v>
      </c>
      <c r="AE26" t="s">
        <v>89</v>
      </c>
      <c r="AI26">
        <v>5</v>
      </c>
      <c r="AJ26">
        <v>38</v>
      </c>
    </row>
    <row r="27" spans="1:36" x14ac:dyDescent="0.4">
      <c r="A27" t="s">
        <v>444</v>
      </c>
      <c r="B27">
        <v>25</v>
      </c>
      <c r="C27" t="s">
        <v>43</v>
      </c>
      <c r="D27">
        <v>3</v>
      </c>
      <c r="F27">
        <v>1</v>
      </c>
      <c r="G27" t="s">
        <v>135</v>
      </c>
      <c r="H27" t="s">
        <v>99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2</v>
      </c>
      <c r="U27">
        <v>1</v>
      </c>
      <c r="V27">
        <v>1</v>
      </c>
      <c r="W27" t="s">
        <v>54</v>
      </c>
      <c r="X27" t="s">
        <v>55</v>
      </c>
      <c r="Y27" t="s">
        <v>105</v>
      </c>
      <c r="AA27" t="s">
        <v>48</v>
      </c>
      <c r="AB27">
        <v>1</v>
      </c>
      <c r="AD27">
        <v>1</v>
      </c>
      <c r="AE27" t="s">
        <v>49</v>
      </c>
      <c r="AF27" t="s">
        <v>50</v>
      </c>
      <c r="AI27">
        <v>8</v>
      </c>
      <c r="AJ27">
        <v>21</v>
      </c>
    </row>
    <row r="28" spans="1:36" x14ac:dyDescent="0.4">
      <c r="A28" t="s">
        <v>445</v>
      </c>
      <c r="B28">
        <v>26</v>
      </c>
      <c r="C28" t="s">
        <v>53</v>
      </c>
      <c r="D28">
        <v>2</v>
      </c>
      <c r="E28">
        <v>1</v>
      </c>
      <c r="F28">
        <v>1</v>
      </c>
      <c r="G28" t="s">
        <v>54</v>
      </c>
      <c r="H28" t="s">
        <v>55</v>
      </c>
      <c r="K28" t="s">
        <v>48</v>
      </c>
      <c r="L28">
        <v>2</v>
      </c>
      <c r="N28">
        <v>1</v>
      </c>
      <c r="O28" t="s">
        <v>89</v>
      </c>
      <c r="P28" t="s">
        <v>71</v>
      </c>
      <c r="Q28" t="s">
        <v>51</v>
      </c>
      <c r="S28" t="s">
        <v>43</v>
      </c>
      <c r="T28">
        <v>2</v>
      </c>
      <c r="V28">
        <v>1</v>
      </c>
      <c r="W28" t="s">
        <v>135</v>
      </c>
      <c r="X28" t="s">
        <v>99</v>
      </c>
      <c r="AA28" t="s">
        <v>38</v>
      </c>
      <c r="AB28">
        <v>2</v>
      </c>
      <c r="AC28">
        <v>1</v>
      </c>
      <c r="AD28">
        <v>1</v>
      </c>
      <c r="AE28" t="s">
        <v>152</v>
      </c>
      <c r="AF28" t="s">
        <v>96</v>
      </c>
      <c r="AI28">
        <v>9</v>
      </c>
      <c r="AJ28">
        <v>29</v>
      </c>
    </row>
    <row r="29" spans="1:36" x14ac:dyDescent="0.4">
      <c r="A29" t="s">
        <v>446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76</v>
      </c>
      <c r="K29" t="s">
        <v>63</v>
      </c>
      <c r="L29">
        <v>1</v>
      </c>
      <c r="N29">
        <v>1</v>
      </c>
      <c r="O29" t="s">
        <v>103</v>
      </c>
      <c r="S29" t="s">
        <v>53</v>
      </c>
      <c r="T29">
        <v>1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89</v>
      </c>
      <c r="AI29">
        <v>4</v>
      </c>
      <c r="AJ29">
        <v>30</v>
      </c>
    </row>
    <row r="30" spans="1:36" x14ac:dyDescent="0.4">
      <c r="A30" t="s">
        <v>447</v>
      </c>
      <c r="B30">
        <v>28</v>
      </c>
      <c r="C30" t="s">
        <v>45</v>
      </c>
      <c r="D30">
        <v>2</v>
      </c>
      <c r="F30">
        <v>1</v>
      </c>
      <c r="G30" t="s">
        <v>47</v>
      </c>
      <c r="K30" t="s">
        <v>38</v>
      </c>
      <c r="L30">
        <v>3</v>
      </c>
      <c r="M30">
        <v>1</v>
      </c>
      <c r="N30">
        <v>3</v>
      </c>
      <c r="O30" t="s">
        <v>152</v>
      </c>
      <c r="P30" t="s">
        <v>96</v>
      </c>
      <c r="Q30" t="s">
        <v>41</v>
      </c>
      <c r="S30" t="s">
        <v>53</v>
      </c>
      <c r="T30">
        <v>3</v>
      </c>
      <c r="U30">
        <v>1</v>
      </c>
      <c r="V30">
        <v>1</v>
      </c>
      <c r="W30" t="s">
        <v>111</v>
      </c>
      <c r="X30" t="s">
        <v>83</v>
      </c>
      <c r="Y30" t="s">
        <v>105</v>
      </c>
      <c r="AA30" t="s">
        <v>48</v>
      </c>
      <c r="AB30">
        <v>1</v>
      </c>
      <c r="AD30">
        <v>1</v>
      </c>
      <c r="AE30" t="s">
        <v>89</v>
      </c>
      <c r="AI30">
        <v>11</v>
      </c>
      <c r="AJ30">
        <v>41</v>
      </c>
    </row>
    <row r="31" spans="1:36" x14ac:dyDescent="0.4">
      <c r="A31" t="s">
        <v>448</v>
      </c>
      <c r="B31">
        <v>29</v>
      </c>
      <c r="C31" t="s">
        <v>63</v>
      </c>
      <c r="D31">
        <v>2</v>
      </c>
      <c r="F31">
        <v>1</v>
      </c>
      <c r="G31" t="s">
        <v>72</v>
      </c>
      <c r="K31" t="s">
        <v>38</v>
      </c>
      <c r="L31">
        <v>3</v>
      </c>
      <c r="M31">
        <v>1</v>
      </c>
      <c r="N31">
        <v>1</v>
      </c>
      <c r="O31" t="s">
        <v>152</v>
      </c>
      <c r="P31" t="s">
        <v>96</v>
      </c>
      <c r="S31" t="s">
        <v>53</v>
      </c>
      <c r="T31">
        <v>2</v>
      </c>
      <c r="U31">
        <v>1</v>
      </c>
      <c r="V31">
        <v>2</v>
      </c>
      <c r="W31" t="s">
        <v>54</v>
      </c>
      <c r="AA31" t="s">
        <v>48</v>
      </c>
      <c r="AB31">
        <v>1</v>
      </c>
      <c r="AD31">
        <v>1</v>
      </c>
      <c r="AE31" t="s">
        <v>49</v>
      </c>
      <c r="AI31">
        <v>6</v>
      </c>
      <c r="AJ31">
        <v>27</v>
      </c>
    </row>
    <row r="32" spans="1:36" x14ac:dyDescent="0.4">
      <c r="A32" t="s">
        <v>449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54</v>
      </c>
      <c r="H32" t="s">
        <v>83</v>
      </c>
      <c r="K32" t="s">
        <v>33</v>
      </c>
      <c r="L32">
        <v>3</v>
      </c>
      <c r="N32">
        <v>1</v>
      </c>
      <c r="O32" t="s">
        <v>46</v>
      </c>
      <c r="S32" t="s">
        <v>56</v>
      </c>
      <c r="T32">
        <v>1</v>
      </c>
      <c r="V32">
        <v>1</v>
      </c>
      <c r="W32" t="s">
        <v>57</v>
      </c>
      <c r="X32" t="s">
        <v>122</v>
      </c>
      <c r="Y32" t="s">
        <v>87</v>
      </c>
      <c r="AA32" t="s">
        <v>48</v>
      </c>
      <c r="AB32">
        <v>2</v>
      </c>
      <c r="AD32">
        <v>1</v>
      </c>
      <c r="AE32" t="s">
        <v>49</v>
      </c>
      <c r="AI32">
        <v>7</v>
      </c>
      <c r="AJ32">
        <v>24</v>
      </c>
    </row>
    <row r="33" spans="1:36" x14ac:dyDescent="0.4">
      <c r="A33" t="s">
        <v>450</v>
      </c>
      <c r="B33">
        <v>31</v>
      </c>
      <c r="C33" t="s">
        <v>56</v>
      </c>
      <c r="D33">
        <v>1</v>
      </c>
      <c r="F33">
        <v>1</v>
      </c>
      <c r="G33" t="s">
        <v>57</v>
      </c>
      <c r="H33" t="s">
        <v>122</v>
      </c>
      <c r="I33" t="s">
        <v>123</v>
      </c>
      <c r="K33" t="s">
        <v>43</v>
      </c>
      <c r="L33">
        <v>3</v>
      </c>
      <c r="N33">
        <v>3</v>
      </c>
      <c r="O33" t="s">
        <v>135</v>
      </c>
      <c r="P33" t="s">
        <v>99</v>
      </c>
      <c r="S33" t="s">
        <v>53</v>
      </c>
      <c r="T33">
        <v>2</v>
      </c>
      <c r="U33">
        <v>1</v>
      </c>
      <c r="V33">
        <v>1</v>
      </c>
      <c r="W33" t="s">
        <v>54</v>
      </c>
      <c r="X33" t="s">
        <v>83</v>
      </c>
      <c r="Y33" t="s">
        <v>97</v>
      </c>
      <c r="AA33" t="s">
        <v>33</v>
      </c>
      <c r="AB33">
        <v>3</v>
      </c>
      <c r="AD33">
        <v>3</v>
      </c>
      <c r="AE33" t="s">
        <v>46</v>
      </c>
      <c r="AI33">
        <v>14</v>
      </c>
      <c r="AJ33">
        <v>33</v>
      </c>
    </row>
    <row r="34" spans="1:36" x14ac:dyDescent="0.4">
      <c r="A34" t="s">
        <v>451</v>
      </c>
      <c r="B34">
        <v>32</v>
      </c>
      <c r="C34" t="s">
        <v>56</v>
      </c>
      <c r="D34">
        <v>1</v>
      </c>
      <c r="F34">
        <v>1</v>
      </c>
      <c r="G34" t="s">
        <v>57</v>
      </c>
      <c r="H34" t="s">
        <v>122</v>
      </c>
      <c r="K34" t="s">
        <v>45</v>
      </c>
      <c r="L34">
        <v>3</v>
      </c>
      <c r="N34">
        <v>1</v>
      </c>
      <c r="O34" t="s">
        <v>47</v>
      </c>
      <c r="S34" t="s">
        <v>53</v>
      </c>
      <c r="T34">
        <v>3</v>
      </c>
      <c r="U34">
        <v>1</v>
      </c>
      <c r="V34">
        <v>1</v>
      </c>
      <c r="W34" t="s">
        <v>54</v>
      </c>
      <c r="AA34" t="s">
        <v>33</v>
      </c>
      <c r="AB34">
        <v>2</v>
      </c>
      <c r="AD34">
        <v>1</v>
      </c>
      <c r="AE34" t="s">
        <v>46</v>
      </c>
      <c r="AI34">
        <v>6</v>
      </c>
      <c r="AJ34">
        <v>25</v>
      </c>
    </row>
    <row r="35" spans="1:36" x14ac:dyDescent="0.4">
      <c r="A35" t="s">
        <v>452</v>
      </c>
      <c r="B35">
        <v>33</v>
      </c>
      <c r="C35" t="s">
        <v>56</v>
      </c>
      <c r="D35">
        <v>2</v>
      </c>
      <c r="F35">
        <v>1</v>
      </c>
      <c r="G35" t="s">
        <v>57</v>
      </c>
      <c r="H35" t="s">
        <v>122</v>
      </c>
      <c r="I35" t="s">
        <v>85</v>
      </c>
      <c r="K35" t="s">
        <v>63</v>
      </c>
      <c r="L35">
        <v>1</v>
      </c>
      <c r="N35">
        <v>1</v>
      </c>
      <c r="O35" t="s">
        <v>103</v>
      </c>
      <c r="S35" t="s">
        <v>53</v>
      </c>
      <c r="T35">
        <v>2</v>
      </c>
      <c r="U35">
        <v>1</v>
      </c>
      <c r="V35">
        <v>1</v>
      </c>
      <c r="W35" t="s">
        <v>111</v>
      </c>
      <c r="X35" t="s">
        <v>113</v>
      </c>
      <c r="AA35" t="s">
        <v>33</v>
      </c>
      <c r="AB35">
        <v>2</v>
      </c>
      <c r="AD35">
        <v>1</v>
      </c>
      <c r="AE35" t="s">
        <v>46</v>
      </c>
      <c r="AI35">
        <v>6</v>
      </c>
      <c r="AJ35">
        <v>27</v>
      </c>
    </row>
    <row r="36" spans="1:36" x14ac:dyDescent="0.4">
      <c r="A36" t="s">
        <v>453</v>
      </c>
      <c r="B36">
        <v>34</v>
      </c>
      <c r="C36" t="s">
        <v>53</v>
      </c>
      <c r="D36">
        <v>2</v>
      </c>
      <c r="E36">
        <v>1</v>
      </c>
      <c r="F36">
        <v>1</v>
      </c>
      <c r="G36" t="s">
        <v>54</v>
      </c>
      <c r="H36" t="s">
        <v>113</v>
      </c>
      <c r="K36" t="s">
        <v>33</v>
      </c>
      <c r="L36">
        <v>3</v>
      </c>
      <c r="N36">
        <v>2</v>
      </c>
      <c r="O36" t="s">
        <v>46</v>
      </c>
      <c r="S36" t="s">
        <v>56</v>
      </c>
      <c r="T36">
        <v>3</v>
      </c>
      <c r="V36">
        <v>1</v>
      </c>
      <c r="W36" t="s">
        <v>57</v>
      </c>
      <c r="X36" t="s">
        <v>122</v>
      </c>
      <c r="AA36" t="s">
        <v>38</v>
      </c>
      <c r="AB36">
        <v>1</v>
      </c>
      <c r="AC36">
        <v>3</v>
      </c>
      <c r="AD36">
        <v>1</v>
      </c>
      <c r="AE36" t="s">
        <v>152</v>
      </c>
      <c r="AI36">
        <v>10</v>
      </c>
      <c r="AJ36">
        <v>39</v>
      </c>
    </row>
    <row r="37" spans="1:36" x14ac:dyDescent="0.4">
      <c r="A37" t="s">
        <v>454</v>
      </c>
      <c r="B37">
        <v>35</v>
      </c>
      <c r="C37" t="s">
        <v>53</v>
      </c>
      <c r="D37">
        <v>3</v>
      </c>
      <c r="E37">
        <v>1</v>
      </c>
      <c r="F37">
        <v>2</v>
      </c>
      <c r="G37" t="s">
        <v>54</v>
      </c>
      <c r="H37" t="s">
        <v>83</v>
      </c>
      <c r="K37" t="s">
        <v>33</v>
      </c>
      <c r="L37">
        <v>1</v>
      </c>
      <c r="N37">
        <v>1</v>
      </c>
      <c r="O37" t="s">
        <v>46</v>
      </c>
      <c r="S37" t="s">
        <v>48</v>
      </c>
      <c r="T37">
        <v>3</v>
      </c>
      <c r="V37">
        <v>3</v>
      </c>
      <c r="W37" t="s">
        <v>49</v>
      </c>
      <c r="AA37" t="s">
        <v>43</v>
      </c>
      <c r="AB37">
        <v>2</v>
      </c>
      <c r="AD37">
        <v>1</v>
      </c>
      <c r="AE37" t="s">
        <v>135</v>
      </c>
      <c r="AI37">
        <v>9</v>
      </c>
      <c r="AJ37">
        <v>26</v>
      </c>
    </row>
    <row r="38" spans="1:36" x14ac:dyDescent="0.4">
      <c r="A38" t="s">
        <v>455</v>
      </c>
      <c r="B38">
        <v>36</v>
      </c>
      <c r="C38" t="s">
        <v>53</v>
      </c>
      <c r="D38">
        <v>2</v>
      </c>
      <c r="E38">
        <v>1</v>
      </c>
      <c r="F38">
        <v>2</v>
      </c>
      <c r="G38" t="s">
        <v>54</v>
      </c>
      <c r="K38" t="s">
        <v>33</v>
      </c>
      <c r="L38">
        <v>2</v>
      </c>
      <c r="N38">
        <v>1</v>
      </c>
      <c r="O38" t="s">
        <v>46</v>
      </c>
      <c r="P38" t="s">
        <v>35</v>
      </c>
      <c r="Q38" t="s">
        <v>132</v>
      </c>
      <c r="S38" t="s">
        <v>48</v>
      </c>
      <c r="T38">
        <v>2</v>
      </c>
      <c r="V38">
        <v>1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F38" t="s">
        <v>76</v>
      </c>
      <c r="AI38">
        <v>9</v>
      </c>
      <c r="AJ38">
        <v>27</v>
      </c>
    </row>
    <row r="39" spans="1:36" x14ac:dyDescent="0.4">
      <c r="A39" s="4" t="s">
        <v>456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K39" t="s">
        <v>33</v>
      </c>
      <c r="L39">
        <v>3</v>
      </c>
      <c r="N39">
        <v>1</v>
      </c>
      <c r="O39" t="s">
        <v>46</v>
      </c>
      <c r="P39" t="s">
        <v>35</v>
      </c>
      <c r="S39" t="s">
        <v>48</v>
      </c>
      <c r="T39">
        <v>1</v>
      </c>
      <c r="V39">
        <v>1</v>
      </c>
      <c r="W39" t="s">
        <v>49</v>
      </c>
      <c r="AA39" t="s">
        <v>63</v>
      </c>
      <c r="AB39">
        <v>2</v>
      </c>
      <c r="AD39">
        <v>1</v>
      </c>
      <c r="AE39" t="s">
        <v>103</v>
      </c>
      <c r="AI39">
        <v>5</v>
      </c>
      <c r="AJ39">
        <v>28</v>
      </c>
    </row>
    <row r="40" spans="1:36" x14ac:dyDescent="0.4">
      <c r="A40" t="s">
        <v>457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54</v>
      </c>
      <c r="H40" t="s">
        <v>55</v>
      </c>
      <c r="K40" t="s">
        <v>33</v>
      </c>
      <c r="L40">
        <v>3</v>
      </c>
      <c r="N40">
        <v>1</v>
      </c>
      <c r="O40" t="s">
        <v>46</v>
      </c>
      <c r="S40" t="s">
        <v>48</v>
      </c>
      <c r="T40">
        <v>1</v>
      </c>
      <c r="V40">
        <v>1</v>
      </c>
      <c r="W40" t="s">
        <v>49</v>
      </c>
      <c r="X40" t="s">
        <v>50</v>
      </c>
      <c r="AA40" t="s">
        <v>38</v>
      </c>
      <c r="AB40">
        <v>1</v>
      </c>
      <c r="AC40">
        <v>1</v>
      </c>
      <c r="AD40">
        <v>1</v>
      </c>
      <c r="AE40" t="s">
        <v>152</v>
      </c>
      <c r="AI40">
        <v>5</v>
      </c>
      <c r="AJ40">
        <v>18</v>
      </c>
    </row>
    <row r="41" spans="1:36" x14ac:dyDescent="0.4">
      <c r="A41" t="s">
        <v>458</v>
      </c>
      <c r="B41">
        <v>39</v>
      </c>
      <c r="C41" t="s">
        <v>53</v>
      </c>
      <c r="D41">
        <v>2</v>
      </c>
      <c r="E41">
        <v>1</v>
      </c>
      <c r="F41">
        <v>3</v>
      </c>
      <c r="G41" t="s">
        <v>54</v>
      </c>
      <c r="K41" t="s">
        <v>33</v>
      </c>
      <c r="L41">
        <v>1</v>
      </c>
      <c r="N41">
        <v>1</v>
      </c>
      <c r="O41" t="s">
        <v>46</v>
      </c>
      <c r="S41" t="s">
        <v>43</v>
      </c>
      <c r="T41">
        <v>2</v>
      </c>
      <c r="V41">
        <v>2</v>
      </c>
      <c r="W41" t="s">
        <v>135</v>
      </c>
      <c r="X41" t="s">
        <v>99</v>
      </c>
      <c r="AA41" t="s">
        <v>45</v>
      </c>
      <c r="AB41">
        <v>3</v>
      </c>
      <c r="AD41">
        <v>1</v>
      </c>
      <c r="AE41" t="s">
        <v>47</v>
      </c>
      <c r="AI41">
        <v>8</v>
      </c>
      <c r="AJ41">
        <v>25</v>
      </c>
    </row>
    <row r="42" spans="1:36" x14ac:dyDescent="0.4">
      <c r="A42" t="s">
        <v>459</v>
      </c>
      <c r="B42">
        <v>40</v>
      </c>
      <c r="C42" t="s">
        <v>43</v>
      </c>
      <c r="D42">
        <v>2</v>
      </c>
      <c r="F42">
        <v>1</v>
      </c>
      <c r="G42" t="s">
        <v>135</v>
      </c>
      <c r="H42" t="s">
        <v>99</v>
      </c>
      <c r="I42" t="s">
        <v>137</v>
      </c>
      <c r="K42" t="s">
        <v>63</v>
      </c>
      <c r="L42">
        <v>2</v>
      </c>
      <c r="N42">
        <v>1</v>
      </c>
      <c r="O42" t="s">
        <v>103</v>
      </c>
      <c r="S42" t="s">
        <v>53</v>
      </c>
      <c r="T42">
        <v>2</v>
      </c>
      <c r="U42">
        <v>1</v>
      </c>
      <c r="V42">
        <v>1</v>
      </c>
      <c r="W42" t="s">
        <v>54</v>
      </c>
      <c r="X42" t="s">
        <v>55</v>
      </c>
      <c r="AA42" t="s">
        <v>33</v>
      </c>
      <c r="AB42">
        <v>2</v>
      </c>
      <c r="AD42">
        <v>1</v>
      </c>
      <c r="AE42" t="s">
        <v>46</v>
      </c>
      <c r="AI42">
        <v>7</v>
      </c>
      <c r="AJ42">
        <v>28</v>
      </c>
    </row>
    <row r="43" spans="1:36" x14ac:dyDescent="0.4">
      <c r="A43" t="s">
        <v>460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I43" t="s">
        <v>137</v>
      </c>
      <c r="K43" t="s">
        <v>38</v>
      </c>
      <c r="L43">
        <v>1</v>
      </c>
      <c r="M43">
        <v>2</v>
      </c>
      <c r="N43">
        <v>1</v>
      </c>
      <c r="O43" t="s">
        <v>152</v>
      </c>
      <c r="P43" t="s">
        <v>70</v>
      </c>
      <c r="S43" t="s">
        <v>53</v>
      </c>
      <c r="T43">
        <v>1</v>
      </c>
      <c r="U43">
        <v>1</v>
      </c>
      <c r="V43">
        <v>3</v>
      </c>
      <c r="W43" t="s">
        <v>54</v>
      </c>
      <c r="X43" t="s">
        <v>113</v>
      </c>
      <c r="Y43" t="s">
        <v>97</v>
      </c>
      <c r="Z43" t="s">
        <v>115</v>
      </c>
      <c r="AA43" t="s">
        <v>33</v>
      </c>
      <c r="AB43">
        <v>1</v>
      </c>
      <c r="AD43">
        <v>1</v>
      </c>
      <c r="AE43" t="s">
        <v>65</v>
      </c>
      <c r="AF43" t="s">
        <v>35</v>
      </c>
      <c r="AI43">
        <v>11</v>
      </c>
      <c r="AJ43">
        <v>31</v>
      </c>
    </row>
    <row r="44" spans="1:36" x14ac:dyDescent="0.4">
      <c r="A44" t="s">
        <v>461</v>
      </c>
      <c r="B44">
        <v>42</v>
      </c>
      <c r="C44" t="s">
        <v>53</v>
      </c>
      <c r="D44">
        <v>1</v>
      </c>
      <c r="E44">
        <v>1</v>
      </c>
      <c r="F44">
        <v>2</v>
      </c>
      <c r="G44" t="s">
        <v>54</v>
      </c>
      <c r="H44" t="s">
        <v>83</v>
      </c>
      <c r="I44" t="s">
        <v>114</v>
      </c>
      <c r="K44" t="s">
        <v>33</v>
      </c>
      <c r="L44">
        <v>2</v>
      </c>
      <c r="N44">
        <v>2</v>
      </c>
      <c r="O44" t="s">
        <v>46</v>
      </c>
      <c r="P44" t="s">
        <v>35</v>
      </c>
      <c r="Q44" t="s">
        <v>132</v>
      </c>
      <c r="S44" t="s">
        <v>45</v>
      </c>
      <c r="T44">
        <v>3</v>
      </c>
      <c r="V44">
        <v>1</v>
      </c>
      <c r="W44" t="s">
        <v>47</v>
      </c>
      <c r="AA44" t="s">
        <v>63</v>
      </c>
      <c r="AB44">
        <v>1</v>
      </c>
      <c r="AD44">
        <v>1</v>
      </c>
      <c r="AE44" t="s">
        <v>103</v>
      </c>
      <c r="AI44">
        <v>9</v>
      </c>
      <c r="AJ44">
        <v>38</v>
      </c>
    </row>
    <row r="45" spans="1:36" x14ac:dyDescent="0.4">
      <c r="A45" t="s">
        <v>462</v>
      </c>
      <c r="B45">
        <v>43</v>
      </c>
      <c r="C45" t="s">
        <v>45</v>
      </c>
      <c r="D45">
        <v>3</v>
      </c>
      <c r="F45">
        <v>1</v>
      </c>
      <c r="G45" t="s">
        <v>47</v>
      </c>
      <c r="K45" t="s">
        <v>38</v>
      </c>
      <c r="L45">
        <v>3</v>
      </c>
      <c r="M45">
        <v>1</v>
      </c>
      <c r="N45">
        <v>1</v>
      </c>
      <c r="O45" t="s">
        <v>152</v>
      </c>
      <c r="P45" t="s">
        <v>70</v>
      </c>
      <c r="S45" t="s">
        <v>53</v>
      </c>
      <c r="T45">
        <v>1</v>
      </c>
      <c r="U45">
        <v>1</v>
      </c>
      <c r="V45">
        <v>1</v>
      </c>
      <c r="W45" t="s">
        <v>54</v>
      </c>
      <c r="X45" t="s">
        <v>83</v>
      </c>
      <c r="AA45" t="s">
        <v>33</v>
      </c>
      <c r="AB45">
        <v>1</v>
      </c>
      <c r="AD45">
        <v>1</v>
      </c>
      <c r="AE45" t="s">
        <v>46</v>
      </c>
      <c r="AI45">
        <v>6</v>
      </c>
      <c r="AJ45">
        <v>24</v>
      </c>
    </row>
    <row r="46" spans="1:36" x14ac:dyDescent="0.4">
      <c r="A46" t="s">
        <v>463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54</v>
      </c>
      <c r="K46" t="s">
        <v>33</v>
      </c>
      <c r="L46">
        <v>3</v>
      </c>
      <c r="N46">
        <v>1</v>
      </c>
      <c r="O46" t="s">
        <v>46</v>
      </c>
      <c r="P46" t="s">
        <v>35</v>
      </c>
      <c r="S46" t="s">
        <v>63</v>
      </c>
      <c r="T46">
        <v>1</v>
      </c>
      <c r="V46">
        <v>1</v>
      </c>
      <c r="W46" t="s">
        <v>103</v>
      </c>
      <c r="AA46" t="s">
        <v>38</v>
      </c>
      <c r="AB46">
        <v>1</v>
      </c>
      <c r="AC46">
        <v>1</v>
      </c>
      <c r="AD46">
        <v>2</v>
      </c>
      <c r="AE46" t="s">
        <v>152</v>
      </c>
      <c r="AF46" t="s">
        <v>40</v>
      </c>
      <c r="AG46" t="s">
        <v>154</v>
      </c>
      <c r="AI46">
        <v>6</v>
      </c>
      <c r="AJ46">
        <v>28</v>
      </c>
    </row>
    <row r="47" spans="1:36" x14ac:dyDescent="0.4">
      <c r="A47" t="s">
        <v>464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54</v>
      </c>
      <c r="H47" t="s">
        <v>55</v>
      </c>
      <c r="K47" t="s">
        <v>43</v>
      </c>
      <c r="L47">
        <v>3</v>
      </c>
      <c r="N47">
        <v>1</v>
      </c>
      <c r="O47" t="s">
        <v>135</v>
      </c>
      <c r="P47" t="s">
        <v>99</v>
      </c>
      <c r="S47" t="s">
        <v>56</v>
      </c>
      <c r="T47">
        <v>1</v>
      </c>
      <c r="V47">
        <v>1</v>
      </c>
      <c r="W47" t="s">
        <v>57</v>
      </c>
      <c r="AA47" t="s">
        <v>48</v>
      </c>
      <c r="AB47">
        <v>1</v>
      </c>
      <c r="AD47">
        <v>1</v>
      </c>
      <c r="AE47" t="s">
        <v>49</v>
      </c>
      <c r="AF47" t="s">
        <v>50</v>
      </c>
      <c r="AI47">
        <v>6</v>
      </c>
      <c r="AJ47">
        <v>23</v>
      </c>
    </row>
    <row r="48" spans="1:36" x14ac:dyDescent="0.4">
      <c r="A48" t="s">
        <v>465</v>
      </c>
      <c r="B48">
        <v>46</v>
      </c>
      <c r="C48" t="s">
        <v>56</v>
      </c>
      <c r="D48">
        <v>1</v>
      </c>
      <c r="F48">
        <v>2</v>
      </c>
      <c r="G48" t="s">
        <v>68</v>
      </c>
      <c r="K48" t="s">
        <v>33</v>
      </c>
      <c r="L48">
        <v>2</v>
      </c>
      <c r="N48">
        <v>2</v>
      </c>
      <c r="O48" t="s">
        <v>46</v>
      </c>
      <c r="S48" t="s">
        <v>53</v>
      </c>
      <c r="T48">
        <v>2</v>
      </c>
      <c r="U48">
        <v>1</v>
      </c>
      <c r="V48">
        <v>1</v>
      </c>
      <c r="W48" t="s">
        <v>54</v>
      </c>
      <c r="X48" t="s">
        <v>55</v>
      </c>
      <c r="AA48" t="s">
        <v>43</v>
      </c>
      <c r="AB48">
        <v>2</v>
      </c>
      <c r="AD48">
        <v>1</v>
      </c>
      <c r="AE48" t="s">
        <v>135</v>
      </c>
      <c r="AF48" t="s">
        <v>99</v>
      </c>
      <c r="AG48" t="s">
        <v>75</v>
      </c>
      <c r="AI48">
        <v>8</v>
      </c>
      <c r="AJ48">
        <v>26</v>
      </c>
    </row>
    <row r="49" spans="1:36" x14ac:dyDescent="0.4">
      <c r="A49" t="s">
        <v>466</v>
      </c>
      <c r="B49">
        <v>47</v>
      </c>
      <c r="C49" t="s">
        <v>53</v>
      </c>
      <c r="D49">
        <v>1</v>
      </c>
      <c r="E49">
        <v>1</v>
      </c>
      <c r="F49">
        <v>1</v>
      </c>
      <c r="G49" t="s">
        <v>54</v>
      </c>
      <c r="K49" t="s">
        <v>43</v>
      </c>
      <c r="L49">
        <v>3</v>
      </c>
      <c r="N49">
        <v>1</v>
      </c>
      <c r="O49" t="s">
        <v>135</v>
      </c>
      <c r="P49" t="s">
        <v>136</v>
      </c>
      <c r="Q49" t="s">
        <v>75</v>
      </c>
      <c r="S49" t="s">
        <v>56</v>
      </c>
      <c r="T49">
        <v>3</v>
      </c>
      <c r="V49">
        <v>2</v>
      </c>
      <c r="W49" t="s">
        <v>57</v>
      </c>
      <c r="X49" t="s">
        <v>122</v>
      </c>
      <c r="AA49" t="s">
        <v>45</v>
      </c>
      <c r="AB49">
        <v>2</v>
      </c>
      <c r="AD49">
        <v>1</v>
      </c>
      <c r="AE49" t="s">
        <v>47</v>
      </c>
      <c r="AI49">
        <v>9</v>
      </c>
      <c r="AJ49">
        <v>28</v>
      </c>
    </row>
    <row r="50" spans="1:36" x14ac:dyDescent="0.4">
      <c r="A50" t="s">
        <v>467</v>
      </c>
      <c r="B50">
        <v>48</v>
      </c>
      <c r="C50" t="s">
        <v>56</v>
      </c>
      <c r="D50">
        <v>3</v>
      </c>
      <c r="F50">
        <v>3</v>
      </c>
      <c r="G50" t="s">
        <v>57</v>
      </c>
      <c r="H50" t="s">
        <v>122</v>
      </c>
      <c r="I50" t="s">
        <v>87</v>
      </c>
      <c r="J50" t="s">
        <v>125</v>
      </c>
      <c r="K50" t="s">
        <v>63</v>
      </c>
      <c r="L50">
        <v>2</v>
      </c>
      <c r="N50">
        <v>1</v>
      </c>
      <c r="O50" t="s">
        <v>103</v>
      </c>
      <c r="S50" t="s">
        <v>53</v>
      </c>
      <c r="T50">
        <v>3</v>
      </c>
      <c r="U50">
        <v>1</v>
      </c>
      <c r="V50">
        <v>3</v>
      </c>
      <c r="W50" t="s">
        <v>54</v>
      </c>
      <c r="X50" t="s">
        <v>83</v>
      </c>
      <c r="AA50" t="s">
        <v>43</v>
      </c>
      <c r="AB50">
        <v>1</v>
      </c>
      <c r="AD50">
        <v>1</v>
      </c>
      <c r="AE50" t="s">
        <v>135</v>
      </c>
      <c r="AI50">
        <v>13</v>
      </c>
      <c r="AJ50">
        <v>41</v>
      </c>
    </row>
    <row r="51" spans="1:36" x14ac:dyDescent="0.4">
      <c r="A51" t="s">
        <v>468</v>
      </c>
      <c r="B51">
        <v>49</v>
      </c>
      <c r="C51" t="s">
        <v>56</v>
      </c>
      <c r="D51">
        <v>2</v>
      </c>
      <c r="F51">
        <v>1</v>
      </c>
      <c r="G51" t="s">
        <v>57</v>
      </c>
      <c r="H51" t="s">
        <v>122</v>
      </c>
      <c r="I51" t="s">
        <v>85</v>
      </c>
      <c r="K51" t="s">
        <v>38</v>
      </c>
      <c r="L51">
        <v>3</v>
      </c>
      <c r="M51">
        <v>1</v>
      </c>
      <c r="N51">
        <v>1</v>
      </c>
      <c r="O51" t="s">
        <v>67</v>
      </c>
      <c r="P51" t="s">
        <v>70</v>
      </c>
      <c r="Q51" t="s">
        <v>41</v>
      </c>
      <c r="R51" t="s">
        <v>156</v>
      </c>
      <c r="S51" t="s">
        <v>53</v>
      </c>
      <c r="T51">
        <v>3</v>
      </c>
      <c r="U51">
        <v>1</v>
      </c>
      <c r="V51">
        <v>3</v>
      </c>
      <c r="W51" t="s">
        <v>54</v>
      </c>
      <c r="X51" t="s">
        <v>83</v>
      </c>
      <c r="AA51" t="s">
        <v>43</v>
      </c>
      <c r="AB51">
        <v>1</v>
      </c>
      <c r="AD51">
        <v>1</v>
      </c>
      <c r="AE51" t="s">
        <v>135</v>
      </c>
      <c r="AI51">
        <v>13</v>
      </c>
      <c r="AJ51">
        <v>37</v>
      </c>
    </row>
    <row r="52" spans="1:36" x14ac:dyDescent="0.4">
      <c r="A52" t="s">
        <v>469</v>
      </c>
      <c r="B52">
        <v>50</v>
      </c>
      <c r="C52" t="s">
        <v>53</v>
      </c>
      <c r="D52">
        <v>2</v>
      </c>
      <c r="E52">
        <v>1</v>
      </c>
      <c r="F52">
        <v>2</v>
      </c>
      <c r="G52" t="s">
        <v>54</v>
      </c>
      <c r="H52" t="s">
        <v>55</v>
      </c>
      <c r="K52" t="s">
        <v>43</v>
      </c>
      <c r="L52">
        <v>3</v>
      </c>
      <c r="N52">
        <v>1</v>
      </c>
      <c r="O52" t="s">
        <v>135</v>
      </c>
      <c r="S52" t="s">
        <v>48</v>
      </c>
      <c r="T52">
        <v>1</v>
      </c>
      <c r="V52">
        <v>1</v>
      </c>
      <c r="W52" t="s">
        <v>49</v>
      </c>
      <c r="X52" t="s">
        <v>50</v>
      </c>
      <c r="AA52" t="s">
        <v>33</v>
      </c>
      <c r="AB52">
        <v>1</v>
      </c>
      <c r="AD52">
        <v>2</v>
      </c>
      <c r="AE52" t="s">
        <v>65</v>
      </c>
      <c r="AF52" t="s">
        <v>35</v>
      </c>
      <c r="AG52" t="s">
        <v>131</v>
      </c>
      <c r="AI52">
        <v>9</v>
      </c>
      <c r="AJ52">
        <v>27</v>
      </c>
    </row>
    <row r="53" spans="1:36" x14ac:dyDescent="0.4">
      <c r="A53" t="s">
        <v>470</v>
      </c>
      <c r="B53">
        <v>51</v>
      </c>
      <c r="C53" t="s">
        <v>48</v>
      </c>
      <c r="D53">
        <v>1</v>
      </c>
      <c r="F53">
        <v>1</v>
      </c>
      <c r="G53" t="s">
        <v>49</v>
      </c>
      <c r="H53" t="s">
        <v>50</v>
      </c>
      <c r="K53" t="s">
        <v>45</v>
      </c>
      <c r="L53">
        <v>3</v>
      </c>
      <c r="N53">
        <v>3</v>
      </c>
      <c r="O53" t="s">
        <v>47</v>
      </c>
      <c r="P53" t="s">
        <v>76</v>
      </c>
      <c r="Q53" t="s">
        <v>93</v>
      </c>
      <c r="S53" t="s">
        <v>53</v>
      </c>
      <c r="T53">
        <v>2</v>
      </c>
      <c r="U53">
        <v>1</v>
      </c>
      <c r="V53">
        <v>3</v>
      </c>
      <c r="W53" t="s">
        <v>54</v>
      </c>
      <c r="X53" t="s">
        <v>55</v>
      </c>
      <c r="Y53" t="s">
        <v>105</v>
      </c>
      <c r="AA53" t="s">
        <v>43</v>
      </c>
      <c r="AB53">
        <v>1</v>
      </c>
      <c r="AD53">
        <v>1</v>
      </c>
      <c r="AE53" t="s">
        <v>135</v>
      </c>
      <c r="AF53" t="s">
        <v>99</v>
      </c>
      <c r="AI53">
        <v>13</v>
      </c>
      <c r="AJ53">
        <v>36</v>
      </c>
    </row>
    <row r="54" spans="1:36" x14ac:dyDescent="0.4">
      <c r="A54" t="s">
        <v>471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54</v>
      </c>
      <c r="H54" t="s">
        <v>83</v>
      </c>
      <c r="I54" t="s">
        <v>114</v>
      </c>
      <c r="K54" t="s">
        <v>43</v>
      </c>
      <c r="L54">
        <v>3</v>
      </c>
      <c r="N54">
        <v>1</v>
      </c>
      <c r="O54" t="s">
        <v>135</v>
      </c>
      <c r="P54" t="s">
        <v>99</v>
      </c>
      <c r="S54" t="s">
        <v>48</v>
      </c>
      <c r="T54">
        <v>1</v>
      </c>
      <c r="V54">
        <v>1</v>
      </c>
      <c r="W54" t="s">
        <v>49</v>
      </c>
      <c r="X54" t="s">
        <v>71</v>
      </c>
      <c r="Y54" t="s">
        <v>90</v>
      </c>
      <c r="AA54" t="s">
        <v>63</v>
      </c>
      <c r="AB54">
        <v>1</v>
      </c>
      <c r="AD54">
        <v>1</v>
      </c>
      <c r="AE54" t="s">
        <v>103</v>
      </c>
      <c r="AI54">
        <v>8</v>
      </c>
      <c r="AJ54">
        <v>49</v>
      </c>
    </row>
    <row r="55" spans="1:36" x14ac:dyDescent="0.4">
      <c r="A55" t="s">
        <v>472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54</v>
      </c>
      <c r="H55" t="s">
        <v>55</v>
      </c>
      <c r="K55" t="s">
        <v>43</v>
      </c>
      <c r="L55">
        <v>2</v>
      </c>
      <c r="N55">
        <v>1</v>
      </c>
      <c r="O55" t="s">
        <v>135</v>
      </c>
      <c r="P55" t="s">
        <v>74</v>
      </c>
      <c r="Q55" t="s">
        <v>75</v>
      </c>
      <c r="R55" t="s">
        <v>138</v>
      </c>
      <c r="S55" t="s">
        <v>48</v>
      </c>
      <c r="T55">
        <v>1</v>
      </c>
      <c r="V55">
        <v>1</v>
      </c>
      <c r="W55" t="s">
        <v>49</v>
      </c>
      <c r="X55" t="s">
        <v>50</v>
      </c>
      <c r="Y55" t="s">
        <v>127</v>
      </c>
      <c r="AA55" t="s">
        <v>38</v>
      </c>
      <c r="AB55">
        <v>1</v>
      </c>
      <c r="AC55">
        <v>1</v>
      </c>
      <c r="AD55">
        <v>1</v>
      </c>
      <c r="AE55" t="s">
        <v>152</v>
      </c>
      <c r="AI55">
        <v>7</v>
      </c>
      <c r="AJ55">
        <v>32</v>
      </c>
    </row>
    <row r="56" spans="1:36" x14ac:dyDescent="0.4">
      <c r="A56" t="s">
        <v>473</v>
      </c>
      <c r="B56">
        <v>54</v>
      </c>
      <c r="C56" t="s">
        <v>33</v>
      </c>
      <c r="D56">
        <v>2</v>
      </c>
      <c r="F56">
        <v>1</v>
      </c>
      <c r="G56" t="s">
        <v>46</v>
      </c>
      <c r="K56" t="s">
        <v>45</v>
      </c>
      <c r="L56">
        <v>3</v>
      </c>
      <c r="N56">
        <v>1</v>
      </c>
      <c r="O56" t="s">
        <v>47</v>
      </c>
      <c r="P56" t="s">
        <v>76</v>
      </c>
      <c r="S56" t="s">
        <v>53</v>
      </c>
      <c r="T56">
        <v>1</v>
      </c>
      <c r="U56">
        <v>1</v>
      </c>
      <c r="V56">
        <v>3</v>
      </c>
      <c r="W56" t="s">
        <v>54</v>
      </c>
      <c r="AA56" t="s">
        <v>43</v>
      </c>
      <c r="AB56">
        <v>1</v>
      </c>
      <c r="AD56">
        <v>1</v>
      </c>
      <c r="AE56" t="s">
        <v>135</v>
      </c>
      <c r="AI56">
        <v>6</v>
      </c>
      <c r="AJ56">
        <v>32</v>
      </c>
    </row>
    <row r="57" spans="1:36" x14ac:dyDescent="0.4">
      <c r="A57" t="s">
        <v>474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54</v>
      </c>
      <c r="K57" t="s">
        <v>43</v>
      </c>
      <c r="L57">
        <v>3</v>
      </c>
      <c r="N57">
        <v>1</v>
      </c>
      <c r="O57" t="s">
        <v>135</v>
      </c>
      <c r="P57" t="s">
        <v>136</v>
      </c>
      <c r="S57" t="s">
        <v>33</v>
      </c>
      <c r="T57">
        <v>2</v>
      </c>
      <c r="V57">
        <v>2</v>
      </c>
      <c r="W57" t="s">
        <v>65</v>
      </c>
      <c r="AA57" t="s">
        <v>63</v>
      </c>
      <c r="AB57">
        <v>1</v>
      </c>
      <c r="AD57">
        <v>1</v>
      </c>
      <c r="AE57" t="s">
        <v>103</v>
      </c>
      <c r="AI57">
        <v>5</v>
      </c>
      <c r="AJ57">
        <v>31</v>
      </c>
    </row>
    <row r="58" spans="1:36" x14ac:dyDescent="0.4">
      <c r="A58" t="s">
        <v>475</v>
      </c>
      <c r="B58">
        <v>56</v>
      </c>
      <c r="C58" t="s">
        <v>33</v>
      </c>
      <c r="D58">
        <v>2</v>
      </c>
      <c r="F58">
        <v>1</v>
      </c>
      <c r="G58" t="s">
        <v>65</v>
      </c>
      <c r="H58" t="s">
        <v>35</v>
      </c>
      <c r="K58" t="s">
        <v>38</v>
      </c>
      <c r="L58">
        <v>3</v>
      </c>
      <c r="M58">
        <v>3</v>
      </c>
      <c r="N58">
        <v>1</v>
      </c>
      <c r="O58" t="s">
        <v>152</v>
      </c>
      <c r="P58" t="s">
        <v>70</v>
      </c>
      <c r="S58" t="s">
        <v>53</v>
      </c>
      <c r="T58">
        <v>2</v>
      </c>
      <c r="U58">
        <v>1</v>
      </c>
      <c r="V58">
        <v>1</v>
      </c>
      <c r="W58" t="s">
        <v>54</v>
      </c>
      <c r="X58" t="s">
        <v>55</v>
      </c>
      <c r="Y58" t="s">
        <v>97</v>
      </c>
      <c r="AA58" t="s">
        <v>43</v>
      </c>
      <c r="AB58">
        <v>2</v>
      </c>
      <c r="AD58">
        <v>3</v>
      </c>
      <c r="AE58" t="s">
        <v>135</v>
      </c>
      <c r="AI58">
        <v>13</v>
      </c>
      <c r="AJ58">
        <v>30</v>
      </c>
    </row>
    <row r="59" spans="1:36" x14ac:dyDescent="0.4">
      <c r="A59" t="s">
        <v>476</v>
      </c>
      <c r="B59">
        <v>57</v>
      </c>
      <c r="C59" t="s">
        <v>53</v>
      </c>
      <c r="D59">
        <v>3</v>
      </c>
      <c r="E59">
        <v>1</v>
      </c>
      <c r="F59">
        <v>3</v>
      </c>
      <c r="G59" t="s">
        <v>54</v>
      </c>
      <c r="K59" t="s">
        <v>43</v>
      </c>
      <c r="L59">
        <v>3</v>
      </c>
      <c r="N59">
        <v>1</v>
      </c>
      <c r="O59" t="s">
        <v>135</v>
      </c>
      <c r="P59" t="s">
        <v>99</v>
      </c>
      <c r="S59" t="s">
        <v>45</v>
      </c>
      <c r="T59">
        <v>3</v>
      </c>
      <c r="V59">
        <v>2</v>
      </c>
      <c r="W59" t="s">
        <v>47</v>
      </c>
      <c r="X59" t="s">
        <v>76</v>
      </c>
      <c r="Y59" t="s">
        <v>102</v>
      </c>
      <c r="AA59" t="s">
        <v>63</v>
      </c>
      <c r="AB59">
        <v>2</v>
      </c>
      <c r="AD59">
        <v>1</v>
      </c>
      <c r="AE59" t="s">
        <v>103</v>
      </c>
      <c r="AI59">
        <v>13</v>
      </c>
      <c r="AJ59">
        <v>41</v>
      </c>
    </row>
    <row r="60" spans="1:36" x14ac:dyDescent="0.4">
      <c r="A60" t="s">
        <v>477</v>
      </c>
      <c r="B60">
        <v>58</v>
      </c>
      <c r="C60" t="s">
        <v>53</v>
      </c>
      <c r="D60">
        <v>1</v>
      </c>
      <c r="E60">
        <v>1</v>
      </c>
      <c r="F60">
        <v>1</v>
      </c>
      <c r="G60" t="s">
        <v>54</v>
      </c>
      <c r="H60" t="s">
        <v>113</v>
      </c>
      <c r="K60" t="s">
        <v>43</v>
      </c>
      <c r="L60">
        <v>2</v>
      </c>
      <c r="N60">
        <v>1</v>
      </c>
      <c r="O60" t="s">
        <v>135</v>
      </c>
      <c r="S60" t="s">
        <v>45</v>
      </c>
      <c r="T60">
        <v>2</v>
      </c>
      <c r="V60">
        <v>1</v>
      </c>
      <c r="W60" t="s">
        <v>47</v>
      </c>
      <c r="AA60" t="s">
        <v>38</v>
      </c>
      <c r="AB60">
        <v>1</v>
      </c>
      <c r="AC60">
        <v>1</v>
      </c>
      <c r="AD60">
        <v>1</v>
      </c>
      <c r="AE60" t="s">
        <v>152</v>
      </c>
      <c r="AI60">
        <v>3</v>
      </c>
      <c r="AJ60">
        <v>24</v>
      </c>
    </row>
    <row r="61" spans="1:36" x14ac:dyDescent="0.4">
      <c r="A61" s="4" t="s">
        <v>478</v>
      </c>
      <c r="B61">
        <v>59</v>
      </c>
      <c r="C61" t="s">
        <v>63</v>
      </c>
      <c r="D61">
        <v>3</v>
      </c>
      <c r="F61">
        <v>2</v>
      </c>
      <c r="G61" t="s">
        <v>103</v>
      </c>
      <c r="H61" t="s">
        <v>146</v>
      </c>
      <c r="I61" t="s">
        <v>147</v>
      </c>
      <c r="K61" t="s">
        <v>38</v>
      </c>
      <c r="L61">
        <v>1</v>
      </c>
      <c r="M61">
        <v>1</v>
      </c>
      <c r="N61">
        <v>1</v>
      </c>
      <c r="O61" t="s">
        <v>152</v>
      </c>
      <c r="P61" t="s">
        <v>70</v>
      </c>
      <c r="Q61" t="s">
        <v>153</v>
      </c>
      <c r="S61" t="s">
        <v>53</v>
      </c>
      <c r="T61">
        <v>3</v>
      </c>
      <c r="U61">
        <v>1</v>
      </c>
      <c r="V61">
        <v>2</v>
      </c>
      <c r="W61" t="s">
        <v>54</v>
      </c>
      <c r="X61" t="s">
        <v>55</v>
      </c>
      <c r="Y61" t="s">
        <v>114</v>
      </c>
      <c r="AA61" t="s">
        <v>43</v>
      </c>
      <c r="AB61">
        <v>1</v>
      </c>
      <c r="AD61">
        <v>1</v>
      </c>
      <c r="AE61" t="s">
        <v>135</v>
      </c>
      <c r="AF61" t="s">
        <v>99</v>
      </c>
      <c r="AI61">
        <v>13</v>
      </c>
      <c r="AJ61">
        <v>32</v>
      </c>
    </row>
    <row r="62" spans="1:36" x14ac:dyDescent="0.4">
      <c r="A62" t="s">
        <v>479</v>
      </c>
      <c r="B62">
        <v>60</v>
      </c>
      <c r="C62" t="s">
        <v>56</v>
      </c>
      <c r="D62">
        <v>1</v>
      </c>
      <c r="F62">
        <v>1</v>
      </c>
      <c r="G62" t="s">
        <v>57</v>
      </c>
      <c r="K62" t="s">
        <v>48</v>
      </c>
      <c r="L62">
        <v>1</v>
      </c>
      <c r="N62">
        <v>1</v>
      </c>
      <c r="O62" t="s">
        <v>49</v>
      </c>
      <c r="P62" t="s">
        <v>50</v>
      </c>
      <c r="Q62" t="s">
        <v>127</v>
      </c>
      <c r="R62" t="s">
        <v>52</v>
      </c>
      <c r="S62" t="s">
        <v>53</v>
      </c>
      <c r="T62">
        <v>1</v>
      </c>
      <c r="U62">
        <v>2</v>
      </c>
      <c r="V62">
        <v>1</v>
      </c>
      <c r="W62" t="s">
        <v>111</v>
      </c>
      <c r="AA62" t="s">
        <v>45</v>
      </c>
      <c r="AB62">
        <v>3</v>
      </c>
      <c r="AD62">
        <v>1</v>
      </c>
      <c r="AE62" t="s">
        <v>47</v>
      </c>
      <c r="AI62">
        <v>6</v>
      </c>
      <c r="AJ62">
        <v>35</v>
      </c>
    </row>
    <row r="63" spans="1:36" x14ac:dyDescent="0.4">
      <c r="A63" t="s">
        <v>480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2</v>
      </c>
      <c r="N63">
        <v>1</v>
      </c>
      <c r="O63" t="s">
        <v>47</v>
      </c>
      <c r="S63" t="s">
        <v>56</v>
      </c>
      <c r="T63">
        <v>1</v>
      </c>
      <c r="V63">
        <v>2</v>
      </c>
      <c r="W63" t="s">
        <v>57</v>
      </c>
      <c r="AA63" t="s">
        <v>33</v>
      </c>
      <c r="AB63">
        <v>1</v>
      </c>
      <c r="AD63">
        <v>1</v>
      </c>
      <c r="AE63" t="s">
        <v>46</v>
      </c>
      <c r="AI63">
        <v>3</v>
      </c>
      <c r="AJ63">
        <v>30</v>
      </c>
    </row>
    <row r="64" spans="1:36" x14ac:dyDescent="0.4">
      <c r="A64" t="s">
        <v>481</v>
      </c>
      <c r="B64">
        <v>62</v>
      </c>
      <c r="C64" t="s">
        <v>56</v>
      </c>
      <c r="D64">
        <v>1</v>
      </c>
      <c r="F64">
        <v>1</v>
      </c>
      <c r="G64" t="s">
        <v>57</v>
      </c>
      <c r="K64" t="s">
        <v>43</v>
      </c>
      <c r="L64">
        <v>2</v>
      </c>
      <c r="N64">
        <v>1</v>
      </c>
      <c r="O64" t="s">
        <v>135</v>
      </c>
      <c r="P64" t="s">
        <v>74</v>
      </c>
      <c r="Q64" t="s">
        <v>75</v>
      </c>
      <c r="S64" t="s">
        <v>53</v>
      </c>
      <c r="T64">
        <v>2</v>
      </c>
      <c r="U64">
        <v>1</v>
      </c>
      <c r="V64">
        <v>1</v>
      </c>
      <c r="W64" t="s">
        <v>54</v>
      </c>
      <c r="AA64" t="s">
        <v>45</v>
      </c>
      <c r="AB64">
        <v>2</v>
      </c>
      <c r="AD64">
        <v>1</v>
      </c>
      <c r="AE64" t="s">
        <v>47</v>
      </c>
      <c r="AI64">
        <v>5</v>
      </c>
      <c r="AJ64">
        <v>17</v>
      </c>
    </row>
    <row r="65" spans="1:36" x14ac:dyDescent="0.4">
      <c r="A65" t="s">
        <v>482</v>
      </c>
      <c r="B65">
        <v>63</v>
      </c>
      <c r="C65" t="s">
        <v>53</v>
      </c>
      <c r="D65">
        <v>1</v>
      </c>
      <c r="E65">
        <v>1</v>
      </c>
      <c r="F65">
        <v>1</v>
      </c>
      <c r="G65" t="s">
        <v>54</v>
      </c>
      <c r="K65" t="s">
        <v>45</v>
      </c>
      <c r="L65">
        <v>3</v>
      </c>
      <c r="N65">
        <v>1</v>
      </c>
      <c r="O65" t="s">
        <v>47</v>
      </c>
      <c r="S65" t="s">
        <v>56</v>
      </c>
      <c r="T65">
        <v>2</v>
      </c>
      <c r="V65">
        <v>1</v>
      </c>
      <c r="W65" t="s">
        <v>57</v>
      </c>
      <c r="X65" t="s">
        <v>122</v>
      </c>
      <c r="AA65" t="s">
        <v>63</v>
      </c>
      <c r="AB65">
        <v>1</v>
      </c>
      <c r="AD65">
        <v>2</v>
      </c>
      <c r="AE65" t="s">
        <v>103</v>
      </c>
      <c r="AI65">
        <v>5</v>
      </c>
      <c r="AJ65">
        <v>39</v>
      </c>
    </row>
    <row r="66" spans="1:36" x14ac:dyDescent="0.4">
      <c r="A66" t="s">
        <v>483</v>
      </c>
      <c r="B66">
        <v>64</v>
      </c>
      <c r="C66" t="s">
        <v>56</v>
      </c>
      <c r="D66">
        <v>1</v>
      </c>
      <c r="F66">
        <v>2</v>
      </c>
      <c r="G66" t="s">
        <v>57</v>
      </c>
      <c r="K66" t="s">
        <v>38</v>
      </c>
      <c r="L66">
        <v>2</v>
      </c>
      <c r="M66">
        <v>2</v>
      </c>
      <c r="N66">
        <v>1</v>
      </c>
      <c r="O66" t="s">
        <v>152</v>
      </c>
      <c r="P66" t="s">
        <v>96</v>
      </c>
      <c r="S66" t="s">
        <v>53</v>
      </c>
      <c r="T66">
        <v>1</v>
      </c>
      <c r="U66">
        <v>1</v>
      </c>
      <c r="V66">
        <v>1</v>
      </c>
      <c r="W66" t="s">
        <v>54</v>
      </c>
      <c r="X66" t="s">
        <v>83</v>
      </c>
      <c r="AA66" t="s">
        <v>45</v>
      </c>
      <c r="AB66">
        <v>3</v>
      </c>
      <c r="AD66">
        <v>1</v>
      </c>
      <c r="AE66" t="s">
        <v>47</v>
      </c>
      <c r="AI66">
        <v>7</v>
      </c>
      <c r="AJ66">
        <v>27</v>
      </c>
    </row>
    <row r="67" spans="1:36" x14ac:dyDescent="0.4">
      <c r="A67" t="s">
        <v>484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K67" t="s">
        <v>45</v>
      </c>
      <c r="L67">
        <v>3</v>
      </c>
      <c r="N67">
        <v>1</v>
      </c>
      <c r="O67" t="s">
        <v>47</v>
      </c>
      <c r="S67" t="s">
        <v>48</v>
      </c>
      <c r="T67">
        <v>1</v>
      </c>
      <c r="V67">
        <v>1</v>
      </c>
      <c r="W67" t="s">
        <v>49</v>
      </c>
      <c r="AA67" t="s">
        <v>33</v>
      </c>
      <c r="AB67">
        <v>2</v>
      </c>
      <c r="AD67">
        <v>1</v>
      </c>
      <c r="AE67" t="s">
        <v>46</v>
      </c>
      <c r="AI67">
        <v>3</v>
      </c>
      <c r="AJ67">
        <v>20</v>
      </c>
    </row>
    <row r="68" spans="1:36" x14ac:dyDescent="0.4">
      <c r="A68" t="s">
        <v>485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2</v>
      </c>
      <c r="O68" t="s">
        <v>47</v>
      </c>
      <c r="S68" t="s">
        <v>48</v>
      </c>
      <c r="T68">
        <v>2</v>
      </c>
      <c r="V68">
        <v>1</v>
      </c>
      <c r="W68" t="s">
        <v>49</v>
      </c>
      <c r="AA68" t="s">
        <v>43</v>
      </c>
      <c r="AB68">
        <v>2</v>
      </c>
      <c r="AD68">
        <v>1</v>
      </c>
      <c r="AE68" t="s">
        <v>135</v>
      </c>
      <c r="AF68" t="s">
        <v>74</v>
      </c>
      <c r="AI68">
        <v>6</v>
      </c>
      <c r="AJ68">
        <v>31</v>
      </c>
    </row>
    <row r="69" spans="1:36" x14ac:dyDescent="0.4">
      <c r="A69" t="s">
        <v>486</v>
      </c>
      <c r="B69">
        <v>67</v>
      </c>
      <c r="C69" t="s">
        <v>48</v>
      </c>
      <c r="D69">
        <v>3</v>
      </c>
      <c r="F69">
        <v>2</v>
      </c>
      <c r="G69" t="s">
        <v>49</v>
      </c>
      <c r="H69" t="s">
        <v>71</v>
      </c>
      <c r="I69" t="s">
        <v>90</v>
      </c>
      <c r="J69" t="s">
        <v>128</v>
      </c>
      <c r="K69" t="s">
        <v>63</v>
      </c>
      <c r="L69">
        <v>1</v>
      </c>
      <c r="N69">
        <v>1</v>
      </c>
      <c r="O69" t="s">
        <v>103</v>
      </c>
      <c r="S69" t="s">
        <v>53</v>
      </c>
      <c r="T69">
        <v>1</v>
      </c>
      <c r="U69">
        <v>1</v>
      </c>
      <c r="V69">
        <v>1</v>
      </c>
      <c r="W69" t="s">
        <v>111</v>
      </c>
      <c r="AA69" t="s">
        <v>45</v>
      </c>
      <c r="AB69">
        <v>3</v>
      </c>
      <c r="AD69">
        <v>3</v>
      </c>
      <c r="AE69" t="s">
        <v>47</v>
      </c>
      <c r="AF69" t="s">
        <v>141</v>
      </c>
      <c r="AG69" t="s">
        <v>93</v>
      </c>
      <c r="AH69" t="s">
        <v>144</v>
      </c>
      <c r="AI69">
        <v>13</v>
      </c>
      <c r="AJ69">
        <v>47</v>
      </c>
    </row>
    <row r="70" spans="1:36" x14ac:dyDescent="0.4">
      <c r="A70" s="4" t="s">
        <v>487</v>
      </c>
      <c r="B70">
        <v>68</v>
      </c>
      <c r="C70" t="s">
        <v>53</v>
      </c>
      <c r="D70">
        <v>2</v>
      </c>
      <c r="E70">
        <v>1</v>
      </c>
      <c r="F70">
        <v>1</v>
      </c>
      <c r="G70" t="s">
        <v>54</v>
      </c>
      <c r="K70" t="s">
        <v>45</v>
      </c>
      <c r="L70">
        <v>2</v>
      </c>
      <c r="N70">
        <v>1</v>
      </c>
      <c r="O70" t="s">
        <v>47</v>
      </c>
      <c r="S70" t="s">
        <v>48</v>
      </c>
      <c r="T70">
        <v>2</v>
      </c>
      <c r="V70">
        <v>1</v>
      </c>
      <c r="W70" t="s">
        <v>49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I70">
        <v>3</v>
      </c>
      <c r="AJ70">
        <v>25</v>
      </c>
    </row>
    <row r="71" spans="1:36" x14ac:dyDescent="0.4">
      <c r="A71" t="s">
        <v>488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54</v>
      </c>
      <c r="H71" t="s">
        <v>83</v>
      </c>
      <c r="K71" t="s">
        <v>45</v>
      </c>
      <c r="L71">
        <v>2</v>
      </c>
      <c r="N71">
        <v>1</v>
      </c>
      <c r="O71" t="s">
        <v>47</v>
      </c>
      <c r="S71" t="s">
        <v>33</v>
      </c>
      <c r="T71">
        <v>1</v>
      </c>
      <c r="V71">
        <v>1</v>
      </c>
      <c r="W71" t="s">
        <v>46</v>
      </c>
      <c r="AA71" t="s">
        <v>43</v>
      </c>
      <c r="AB71">
        <v>2</v>
      </c>
      <c r="AD71">
        <v>1</v>
      </c>
      <c r="AE71" t="s">
        <v>135</v>
      </c>
      <c r="AI71">
        <v>3</v>
      </c>
      <c r="AJ71">
        <v>21</v>
      </c>
    </row>
    <row r="72" spans="1:36" x14ac:dyDescent="0.4">
      <c r="A72" t="s">
        <v>489</v>
      </c>
      <c r="B72">
        <v>70</v>
      </c>
      <c r="C72" t="s">
        <v>53</v>
      </c>
      <c r="D72">
        <v>3</v>
      </c>
      <c r="E72">
        <v>1</v>
      </c>
      <c r="F72">
        <v>1</v>
      </c>
      <c r="G72" t="s">
        <v>54</v>
      </c>
      <c r="K72" t="s">
        <v>45</v>
      </c>
      <c r="L72">
        <v>3</v>
      </c>
      <c r="N72">
        <v>2</v>
      </c>
      <c r="O72" t="s">
        <v>47</v>
      </c>
      <c r="S72" t="s">
        <v>33</v>
      </c>
      <c r="T72">
        <v>2</v>
      </c>
      <c r="V72">
        <v>1</v>
      </c>
      <c r="W72" t="s">
        <v>46</v>
      </c>
      <c r="AA72" t="s">
        <v>63</v>
      </c>
      <c r="AB72">
        <v>2</v>
      </c>
      <c r="AD72">
        <v>2</v>
      </c>
      <c r="AE72" t="s">
        <v>103</v>
      </c>
      <c r="AI72">
        <v>8</v>
      </c>
      <c r="AJ72">
        <v>22</v>
      </c>
    </row>
    <row r="73" spans="1:36" x14ac:dyDescent="0.4">
      <c r="A73" t="s">
        <v>490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54</v>
      </c>
      <c r="K73" t="s">
        <v>45</v>
      </c>
      <c r="L73">
        <v>3</v>
      </c>
      <c r="N73">
        <v>2</v>
      </c>
      <c r="O73" t="s">
        <v>47</v>
      </c>
      <c r="P73" t="s">
        <v>76</v>
      </c>
      <c r="S73" t="s">
        <v>33</v>
      </c>
      <c r="T73">
        <v>2</v>
      </c>
      <c r="V73">
        <v>1</v>
      </c>
      <c r="W73" t="s">
        <v>46</v>
      </c>
      <c r="AA73" t="s">
        <v>38</v>
      </c>
      <c r="AB73">
        <v>3</v>
      </c>
      <c r="AC73">
        <v>2</v>
      </c>
      <c r="AD73">
        <v>2</v>
      </c>
      <c r="AE73" t="s">
        <v>152</v>
      </c>
      <c r="AF73" t="s">
        <v>96</v>
      </c>
      <c r="AI73">
        <v>10</v>
      </c>
      <c r="AJ73">
        <v>36</v>
      </c>
    </row>
    <row r="74" spans="1:36" x14ac:dyDescent="0.4">
      <c r="A74" t="s">
        <v>491</v>
      </c>
      <c r="B74">
        <v>72</v>
      </c>
      <c r="C74" t="s">
        <v>43</v>
      </c>
      <c r="D74">
        <v>2</v>
      </c>
      <c r="F74">
        <v>1</v>
      </c>
      <c r="G74" t="s">
        <v>135</v>
      </c>
      <c r="H74" t="s">
        <v>99</v>
      </c>
      <c r="K74" t="s">
        <v>63</v>
      </c>
      <c r="L74">
        <v>2</v>
      </c>
      <c r="N74">
        <v>1</v>
      </c>
      <c r="O74" t="s">
        <v>103</v>
      </c>
      <c r="S74" t="s">
        <v>53</v>
      </c>
      <c r="T74">
        <v>1</v>
      </c>
      <c r="U74">
        <v>1</v>
      </c>
      <c r="V74">
        <v>1</v>
      </c>
      <c r="W74" t="s">
        <v>54</v>
      </c>
      <c r="AA74" t="s">
        <v>45</v>
      </c>
      <c r="AB74">
        <v>3</v>
      </c>
      <c r="AD74">
        <v>1</v>
      </c>
      <c r="AE74" t="s">
        <v>47</v>
      </c>
      <c r="AI74">
        <v>5</v>
      </c>
      <c r="AJ74">
        <v>24</v>
      </c>
    </row>
    <row r="75" spans="1:36" x14ac:dyDescent="0.4">
      <c r="A75" t="s">
        <v>492</v>
      </c>
      <c r="B75">
        <v>73</v>
      </c>
      <c r="C75" t="s">
        <v>43</v>
      </c>
      <c r="D75">
        <v>2</v>
      </c>
      <c r="F75">
        <v>2</v>
      </c>
      <c r="G75" t="s">
        <v>135</v>
      </c>
      <c r="H75" t="s">
        <v>74</v>
      </c>
      <c r="K75" t="s">
        <v>38</v>
      </c>
      <c r="L75">
        <v>1</v>
      </c>
      <c r="M75">
        <v>2</v>
      </c>
      <c r="N75">
        <v>1</v>
      </c>
      <c r="O75" t="s">
        <v>67</v>
      </c>
      <c r="P75" t="s">
        <v>70</v>
      </c>
      <c r="S75" t="s">
        <v>53</v>
      </c>
      <c r="T75">
        <v>1</v>
      </c>
      <c r="U75">
        <v>1</v>
      </c>
      <c r="V75">
        <v>1</v>
      </c>
      <c r="W75" t="s">
        <v>54</v>
      </c>
      <c r="X75" t="s">
        <v>55</v>
      </c>
      <c r="AA75" t="s">
        <v>45</v>
      </c>
      <c r="AB75">
        <v>1</v>
      </c>
      <c r="AD75">
        <v>1</v>
      </c>
      <c r="AE75" t="s">
        <v>47</v>
      </c>
      <c r="AI75">
        <v>6</v>
      </c>
      <c r="AJ75">
        <v>38</v>
      </c>
    </row>
    <row r="76" spans="1:36" x14ac:dyDescent="0.4">
      <c r="A76" t="s">
        <v>493</v>
      </c>
      <c r="B76">
        <v>74</v>
      </c>
      <c r="C76" t="s">
        <v>53</v>
      </c>
      <c r="D76">
        <v>2</v>
      </c>
      <c r="E76">
        <v>1</v>
      </c>
      <c r="F76">
        <v>1</v>
      </c>
      <c r="G76" t="s">
        <v>54</v>
      </c>
      <c r="K76" t="s">
        <v>45</v>
      </c>
      <c r="L76">
        <v>2</v>
      </c>
      <c r="N76">
        <v>1</v>
      </c>
      <c r="O76" t="s">
        <v>47</v>
      </c>
      <c r="P76" t="s">
        <v>76</v>
      </c>
      <c r="S76" t="s">
        <v>63</v>
      </c>
      <c r="T76">
        <v>1</v>
      </c>
      <c r="V76">
        <v>1</v>
      </c>
      <c r="W76" t="s">
        <v>103</v>
      </c>
      <c r="AA76" t="s">
        <v>38</v>
      </c>
      <c r="AB76">
        <v>1</v>
      </c>
      <c r="AC76">
        <v>1</v>
      </c>
      <c r="AD76">
        <v>1</v>
      </c>
      <c r="AE76" t="s">
        <v>152</v>
      </c>
      <c r="AF76" t="s">
        <v>40</v>
      </c>
      <c r="AI76">
        <v>4</v>
      </c>
      <c r="AJ76">
        <v>25</v>
      </c>
    </row>
    <row r="77" spans="1:36" x14ac:dyDescent="0.4">
      <c r="A77" t="s">
        <v>494</v>
      </c>
      <c r="B77">
        <v>75</v>
      </c>
      <c r="C77" t="s">
        <v>53</v>
      </c>
      <c r="D77">
        <v>2</v>
      </c>
      <c r="E77">
        <v>1</v>
      </c>
      <c r="F77">
        <v>1</v>
      </c>
      <c r="G77" t="s">
        <v>111</v>
      </c>
      <c r="H77" t="s">
        <v>83</v>
      </c>
      <c r="K77" t="s">
        <v>63</v>
      </c>
      <c r="L77">
        <v>3</v>
      </c>
      <c r="N77">
        <v>2</v>
      </c>
      <c r="O77" t="s">
        <v>72</v>
      </c>
      <c r="S77" t="s">
        <v>56</v>
      </c>
      <c r="T77">
        <v>2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1</v>
      </c>
      <c r="AD77">
        <v>2</v>
      </c>
      <c r="AE77" t="s">
        <v>49</v>
      </c>
      <c r="AF77" t="s">
        <v>50</v>
      </c>
      <c r="AG77" t="s">
        <v>51</v>
      </c>
      <c r="AH77" t="s">
        <v>52</v>
      </c>
      <c r="AI77">
        <v>12</v>
      </c>
      <c r="AJ77">
        <v>45</v>
      </c>
    </row>
    <row r="78" spans="1:36" x14ac:dyDescent="0.4">
      <c r="A78" t="s">
        <v>495</v>
      </c>
      <c r="B78">
        <v>76</v>
      </c>
      <c r="C78" t="s">
        <v>56</v>
      </c>
      <c r="D78">
        <v>1</v>
      </c>
      <c r="F78">
        <v>1</v>
      </c>
      <c r="G78" t="s">
        <v>57</v>
      </c>
      <c r="K78" t="s">
        <v>33</v>
      </c>
      <c r="L78">
        <v>3</v>
      </c>
      <c r="N78">
        <v>1</v>
      </c>
      <c r="O78" t="s">
        <v>46</v>
      </c>
      <c r="P78" t="s">
        <v>35</v>
      </c>
      <c r="Q78" t="s">
        <v>131</v>
      </c>
      <c r="S78" t="s">
        <v>53</v>
      </c>
      <c r="T78">
        <v>2</v>
      </c>
      <c r="U78">
        <v>1</v>
      </c>
      <c r="V78">
        <v>1</v>
      </c>
      <c r="W78" t="s">
        <v>54</v>
      </c>
      <c r="AA78" t="s">
        <v>63</v>
      </c>
      <c r="AB78">
        <v>1</v>
      </c>
      <c r="AD78">
        <v>1</v>
      </c>
      <c r="AE78" t="s">
        <v>72</v>
      </c>
      <c r="AF78" t="s">
        <v>146</v>
      </c>
      <c r="AI78">
        <v>6</v>
      </c>
      <c r="AJ78">
        <v>28</v>
      </c>
    </row>
    <row r="79" spans="1:36" x14ac:dyDescent="0.4">
      <c r="A79" t="s">
        <v>496</v>
      </c>
      <c r="B79">
        <v>77</v>
      </c>
      <c r="C79" t="s">
        <v>56</v>
      </c>
      <c r="D79">
        <v>1</v>
      </c>
      <c r="F79">
        <v>1</v>
      </c>
      <c r="G79" t="s">
        <v>57</v>
      </c>
      <c r="K79" t="s">
        <v>43</v>
      </c>
      <c r="L79">
        <v>2</v>
      </c>
      <c r="N79">
        <v>1</v>
      </c>
      <c r="O79" t="s">
        <v>135</v>
      </c>
      <c r="P79" t="s">
        <v>99</v>
      </c>
      <c r="S79" t="s">
        <v>53</v>
      </c>
      <c r="T79">
        <v>1</v>
      </c>
      <c r="U79">
        <v>1</v>
      </c>
      <c r="V79">
        <v>1</v>
      </c>
      <c r="W79" t="s">
        <v>54</v>
      </c>
      <c r="X79" t="s">
        <v>83</v>
      </c>
      <c r="Y79" t="s">
        <v>97</v>
      </c>
      <c r="AA79" t="s">
        <v>63</v>
      </c>
      <c r="AB79">
        <v>1</v>
      </c>
      <c r="AD79">
        <v>1</v>
      </c>
      <c r="AE79" t="s">
        <v>103</v>
      </c>
      <c r="AI79">
        <v>4</v>
      </c>
      <c r="AJ79">
        <v>30</v>
      </c>
    </row>
    <row r="80" spans="1:36" x14ac:dyDescent="0.4">
      <c r="A80" t="s">
        <v>497</v>
      </c>
      <c r="B80">
        <v>78</v>
      </c>
      <c r="C80" t="s">
        <v>56</v>
      </c>
      <c r="D80">
        <v>2</v>
      </c>
      <c r="F80">
        <v>1</v>
      </c>
      <c r="G80" t="s">
        <v>57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1</v>
      </c>
      <c r="U80">
        <v>1</v>
      </c>
      <c r="V80">
        <v>1</v>
      </c>
      <c r="W80" t="s">
        <v>54</v>
      </c>
      <c r="AA80" t="s">
        <v>63</v>
      </c>
      <c r="AB80">
        <v>2</v>
      </c>
      <c r="AD80">
        <v>1</v>
      </c>
      <c r="AE80" t="s">
        <v>103</v>
      </c>
      <c r="AI80">
        <v>4</v>
      </c>
      <c r="AJ80">
        <v>23</v>
      </c>
    </row>
    <row r="81" spans="1:36" x14ac:dyDescent="0.4">
      <c r="A81" t="s">
        <v>498</v>
      </c>
      <c r="B81">
        <v>79</v>
      </c>
      <c r="C81" t="s">
        <v>53</v>
      </c>
      <c r="D81">
        <v>3</v>
      </c>
      <c r="E81">
        <v>2</v>
      </c>
      <c r="F81">
        <v>3</v>
      </c>
      <c r="G81" t="s">
        <v>111</v>
      </c>
      <c r="H81" t="s">
        <v>83</v>
      </c>
      <c r="I81" t="s">
        <v>114</v>
      </c>
      <c r="J81" t="s">
        <v>115</v>
      </c>
      <c r="K81" t="s">
        <v>63</v>
      </c>
      <c r="L81">
        <v>2</v>
      </c>
      <c r="N81">
        <v>1</v>
      </c>
      <c r="O81" t="s">
        <v>103</v>
      </c>
      <c r="S81" t="s">
        <v>56</v>
      </c>
      <c r="T81">
        <v>3</v>
      </c>
      <c r="V81">
        <v>1</v>
      </c>
      <c r="W81" t="s">
        <v>57</v>
      </c>
      <c r="AA81" t="s">
        <v>38</v>
      </c>
      <c r="AB81">
        <v>3</v>
      </c>
      <c r="AC81">
        <v>1</v>
      </c>
      <c r="AD81">
        <v>1</v>
      </c>
      <c r="AE81" t="s">
        <v>152</v>
      </c>
      <c r="AF81" t="s">
        <v>96</v>
      </c>
      <c r="AG81" t="s">
        <v>41</v>
      </c>
      <c r="AI81">
        <v>15</v>
      </c>
      <c r="AJ81">
        <v>62</v>
      </c>
    </row>
    <row r="82" spans="1:36" x14ac:dyDescent="0.4">
      <c r="A82" t="s">
        <v>499</v>
      </c>
      <c r="B82">
        <v>80</v>
      </c>
      <c r="C82" t="s">
        <v>48</v>
      </c>
      <c r="D82">
        <v>1</v>
      </c>
      <c r="F82">
        <v>1</v>
      </c>
      <c r="G82" t="s">
        <v>49</v>
      </c>
      <c r="K82" t="s">
        <v>33</v>
      </c>
      <c r="L82">
        <v>2</v>
      </c>
      <c r="N82">
        <v>3</v>
      </c>
      <c r="O82" t="s">
        <v>46</v>
      </c>
      <c r="P82" t="s">
        <v>35</v>
      </c>
      <c r="S82" t="s">
        <v>53</v>
      </c>
      <c r="T82">
        <v>2</v>
      </c>
      <c r="U82">
        <v>1</v>
      </c>
      <c r="V82">
        <v>3</v>
      </c>
      <c r="W82" t="s">
        <v>54</v>
      </c>
      <c r="AA82" t="s">
        <v>63</v>
      </c>
      <c r="AB82">
        <v>2</v>
      </c>
      <c r="AD82">
        <v>1</v>
      </c>
      <c r="AE82" t="s">
        <v>72</v>
      </c>
      <c r="AI82">
        <v>8</v>
      </c>
      <c r="AJ82">
        <v>30</v>
      </c>
    </row>
    <row r="83" spans="1:36" x14ac:dyDescent="0.4">
      <c r="A83" t="s">
        <v>500</v>
      </c>
      <c r="B83">
        <v>81</v>
      </c>
      <c r="C83" t="s">
        <v>53</v>
      </c>
      <c r="D83">
        <v>1</v>
      </c>
      <c r="E83">
        <v>1</v>
      </c>
      <c r="F83">
        <v>1</v>
      </c>
      <c r="G83" t="s">
        <v>111</v>
      </c>
      <c r="K83" t="s">
        <v>63</v>
      </c>
      <c r="L83">
        <v>3</v>
      </c>
      <c r="N83">
        <v>3</v>
      </c>
      <c r="O83" t="s">
        <v>72</v>
      </c>
      <c r="P83" t="s">
        <v>95</v>
      </c>
      <c r="Q83" t="s">
        <v>147</v>
      </c>
      <c r="R83" t="s">
        <v>150</v>
      </c>
      <c r="S83" t="s">
        <v>48</v>
      </c>
      <c r="T83">
        <v>3</v>
      </c>
      <c r="V83">
        <v>2</v>
      </c>
      <c r="W83" t="s">
        <v>49</v>
      </c>
      <c r="X83" t="s">
        <v>50</v>
      </c>
      <c r="Y83" t="s">
        <v>51</v>
      </c>
      <c r="AA83" t="s">
        <v>43</v>
      </c>
      <c r="AB83">
        <v>2</v>
      </c>
      <c r="AD83">
        <v>1</v>
      </c>
      <c r="AE83" t="s">
        <v>135</v>
      </c>
      <c r="AF83" t="s">
        <v>99</v>
      </c>
      <c r="AI83">
        <v>14</v>
      </c>
      <c r="AJ83">
        <v>46</v>
      </c>
    </row>
    <row r="84" spans="1:36" x14ac:dyDescent="0.4">
      <c r="A84" t="s">
        <v>501</v>
      </c>
      <c r="B84">
        <v>82</v>
      </c>
      <c r="C84" t="s">
        <v>48</v>
      </c>
      <c r="D84">
        <v>3</v>
      </c>
      <c r="F84">
        <v>1</v>
      </c>
      <c r="G84" t="s">
        <v>49</v>
      </c>
      <c r="K84" t="s">
        <v>45</v>
      </c>
      <c r="L84">
        <v>3</v>
      </c>
      <c r="N84">
        <v>2</v>
      </c>
      <c r="O84" t="s">
        <v>47</v>
      </c>
      <c r="S84" t="s">
        <v>53</v>
      </c>
      <c r="T84">
        <v>2</v>
      </c>
      <c r="U84">
        <v>1</v>
      </c>
      <c r="V84">
        <v>1</v>
      </c>
      <c r="W84" t="s">
        <v>54</v>
      </c>
      <c r="AA84" t="s">
        <v>63</v>
      </c>
      <c r="AB84">
        <v>3</v>
      </c>
      <c r="AD84">
        <v>2</v>
      </c>
      <c r="AE84" t="s">
        <v>72</v>
      </c>
      <c r="AI84">
        <v>9</v>
      </c>
      <c r="AJ84">
        <v>37</v>
      </c>
    </row>
    <row r="85" spans="1:36" x14ac:dyDescent="0.4">
      <c r="A85" t="s">
        <v>502</v>
      </c>
      <c r="B85">
        <v>83</v>
      </c>
      <c r="C85" t="s">
        <v>48</v>
      </c>
      <c r="D85">
        <v>2</v>
      </c>
      <c r="F85">
        <v>1</v>
      </c>
      <c r="G85" t="s">
        <v>49</v>
      </c>
      <c r="H85" t="s">
        <v>50</v>
      </c>
      <c r="I85" t="s">
        <v>51</v>
      </c>
      <c r="J85" t="s">
        <v>128</v>
      </c>
      <c r="K85" t="s">
        <v>38</v>
      </c>
      <c r="L85">
        <v>3</v>
      </c>
      <c r="M85">
        <v>1</v>
      </c>
      <c r="N85">
        <v>3</v>
      </c>
      <c r="O85" t="s">
        <v>152</v>
      </c>
      <c r="P85" t="s">
        <v>96</v>
      </c>
      <c r="Q85" t="s">
        <v>154</v>
      </c>
      <c r="R85" t="s">
        <v>42</v>
      </c>
      <c r="S85" t="s">
        <v>53</v>
      </c>
      <c r="T85">
        <v>3</v>
      </c>
      <c r="U85">
        <v>1</v>
      </c>
      <c r="V85">
        <v>3</v>
      </c>
      <c r="W85" t="s">
        <v>54</v>
      </c>
      <c r="X85" t="s">
        <v>55</v>
      </c>
      <c r="Y85" t="s">
        <v>114</v>
      </c>
      <c r="Z85" t="s">
        <v>116</v>
      </c>
      <c r="AA85" t="s">
        <v>63</v>
      </c>
      <c r="AB85">
        <v>1</v>
      </c>
      <c r="AD85">
        <v>1</v>
      </c>
      <c r="AE85" t="s">
        <v>72</v>
      </c>
      <c r="AI85">
        <v>18</v>
      </c>
      <c r="AJ85">
        <v>48</v>
      </c>
    </row>
    <row r="86" spans="1:36" x14ac:dyDescent="0.4">
      <c r="A86" t="s">
        <v>503</v>
      </c>
      <c r="B86">
        <v>84</v>
      </c>
      <c r="C86" t="s">
        <v>33</v>
      </c>
      <c r="D86">
        <v>2</v>
      </c>
      <c r="F86">
        <v>1</v>
      </c>
      <c r="G86" t="s">
        <v>46</v>
      </c>
      <c r="K86" t="s">
        <v>43</v>
      </c>
      <c r="L86">
        <v>1</v>
      </c>
      <c r="N86">
        <v>3</v>
      </c>
      <c r="O86" t="s">
        <v>135</v>
      </c>
      <c r="P86" t="s">
        <v>99</v>
      </c>
      <c r="S86" t="s">
        <v>53</v>
      </c>
      <c r="T86">
        <v>3</v>
      </c>
      <c r="U86">
        <v>1</v>
      </c>
      <c r="V86">
        <v>3</v>
      </c>
      <c r="W86" t="s">
        <v>54</v>
      </c>
      <c r="AA86" t="s">
        <v>63</v>
      </c>
      <c r="AB86">
        <v>2</v>
      </c>
      <c r="AD86">
        <v>1</v>
      </c>
      <c r="AE86" t="s">
        <v>72</v>
      </c>
      <c r="AI86">
        <v>9</v>
      </c>
      <c r="AJ86">
        <v>51</v>
      </c>
    </row>
    <row r="87" spans="1:36" x14ac:dyDescent="0.4">
      <c r="A87" t="s">
        <v>504</v>
      </c>
      <c r="B87">
        <v>85</v>
      </c>
      <c r="C87" t="s">
        <v>53</v>
      </c>
      <c r="D87">
        <v>1</v>
      </c>
      <c r="E87">
        <v>1</v>
      </c>
      <c r="F87">
        <v>1</v>
      </c>
      <c r="G87" t="s">
        <v>54</v>
      </c>
      <c r="K87" t="s">
        <v>63</v>
      </c>
      <c r="L87">
        <v>3</v>
      </c>
      <c r="N87">
        <v>1</v>
      </c>
      <c r="O87" t="s">
        <v>72</v>
      </c>
      <c r="P87" t="s">
        <v>146</v>
      </c>
      <c r="Q87" t="s">
        <v>104</v>
      </c>
      <c r="S87" t="s">
        <v>33</v>
      </c>
      <c r="T87">
        <v>2</v>
      </c>
      <c r="V87">
        <v>1</v>
      </c>
      <c r="W87" t="s">
        <v>46</v>
      </c>
      <c r="X87" t="s">
        <v>35</v>
      </c>
      <c r="Y87" t="s">
        <v>36</v>
      </c>
      <c r="AA87" t="s">
        <v>45</v>
      </c>
      <c r="AB87">
        <v>2</v>
      </c>
      <c r="AD87">
        <v>1</v>
      </c>
      <c r="AE87" t="s">
        <v>47</v>
      </c>
      <c r="AI87">
        <v>8</v>
      </c>
      <c r="AJ87">
        <v>38</v>
      </c>
    </row>
    <row r="88" spans="1:36" x14ac:dyDescent="0.4">
      <c r="A88" t="s">
        <v>505</v>
      </c>
      <c r="B88">
        <v>86</v>
      </c>
      <c r="C88" t="s">
        <v>33</v>
      </c>
      <c r="D88">
        <v>3</v>
      </c>
      <c r="F88">
        <v>1</v>
      </c>
      <c r="G88" t="s">
        <v>46</v>
      </c>
      <c r="H88" t="s">
        <v>35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1</v>
      </c>
      <c r="U88">
        <v>1</v>
      </c>
      <c r="V88">
        <v>1</v>
      </c>
      <c r="W88" t="s">
        <v>54</v>
      </c>
      <c r="AA88" t="s">
        <v>63</v>
      </c>
      <c r="AB88">
        <v>3</v>
      </c>
      <c r="AD88">
        <v>1</v>
      </c>
      <c r="AE88" t="s">
        <v>72</v>
      </c>
      <c r="AI88">
        <v>5</v>
      </c>
      <c r="AJ88">
        <v>25</v>
      </c>
    </row>
    <row r="89" spans="1:36" x14ac:dyDescent="0.4">
      <c r="A89" t="s">
        <v>506</v>
      </c>
      <c r="B89">
        <v>87</v>
      </c>
      <c r="C89" t="s">
        <v>43</v>
      </c>
      <c r="D89">
        <v>1</v>
      </c>
      <c r="F89">
        <v>1</v>
      </c>
      <c r="G89" t="s">
        <v>135</v>
      </c>
      <c r="H89" t="s">
        <v>99</v>
      </c>
      <c r="K89" t="s">
        <v>45</v>
      </c>
      <c r="L89">
        <v>3</v>
      </c>
      <c r="N89">
        <v>3</v>
      </c>
      <c r="O89" t="s">
        <v>47</v>
      </c>
      <c r="S89" t="s">
        <v>53</v>
      </c>
      <c r="T89">
        <v>2</v>
      </c>
      <c r="U89">
        <v>1</v>
      </c>
      <c r="V89">
        <v>2</v>
      </c>
      <c r="W89" t="s">
        <v>54</v>
      </c>
      <c r="AA89" t="s">
        <v>63</v>
      </c>
      <c r="AB89">
        <v>2</v>
      </c>
      <c r="AD89">
        <v>1</v>
      </c>
      <c r="AE89" t="s">
        <v>72</v>
      </c>
      <c r="AI89">
        <v>8</v>
      </c>
      <c r="AJ89">
        <v>42</v>
      </c>
    </row>
    <row r="90" spans="1:36" x14ac:dyDescent="0.4">
      <c r="A90" t="s">
        <v>507</v>
      </c>
      <c r="B90">
        <v>88</v>
      </c>
      <c r="C90" t="s">
        <v>53</v>
      </c>
      <c r="D90">
        <v>1</v>
      </c>
      <c r="E90">
        <v>1</v>
      </c>
      <c r="F90">
        <v>1</v>
      </c>
      <c r="G90" t="s">
        <v>54</v>
      </c>
      <c r="H90" t="s">
        <v>113</v>
      </c>
      <c r="K90" t="s">
        <v>63</v>
      </c>
      <c r="L90">
        <v>3</v>
      </c>
      <c r="N90">
        <v>1</v>
      </c>
      <c r="O90" t="s">
        <v>72</v>
      </c>
      <c r="S90" t="s">
        <v>43</v>
      </c>
      <c r="T90">
        <v>1</v>
      </c>
      <c r="V90">
        <v>2</v>
      </c>
      <c r="W90" t="s">
        <v>135</v>
      </c>
      <c r="X90" t="s">
        <v>99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5</v>
      </c>
      <c r="AJ90">
        <v>35</v>
      </c>
    </row>
    <row r="91" spans="1:36" x14ac:dyDescent="0.4">
      <c r="A91" t="s">
        <v>508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83</v>
      </c>
      <c r="K91" t="s">
        <v>63</v>
      </c>
      <c r="L91">
        <v>1</v>
      </c>
      <c r="N91">
        <v>1</v>
      </c>
      <c r="O91" t="s">
        <v>72</v>
      </c>
      <c r="P91" t="s">
        <v>95</v>
      </c>
      <c r="S91" t="s">
        <v>45</v>
      </c>
      <c r="T91">
        <v>3</v>
      </c>
      <c r="V91">
        <v>1</v>
      </c>
      <c r="W91" t="s">
        <v>47</v>
      </c>
      <c r="AA91" t="s">
        <v>38</v>
      </c>
      <c r="AB91">
        <v>1</v>
      </c>
      <c r="AC91">
        <v>1</v>
      </c>
      <c r="AD91">
        <v>1</v>
      </c>
      <c r="AE91" t="s">
        <v>152</v>
      </c>
      <c r="AI91">
        <v>5</v>
      </c>
      <c r="AJ91">
        <v>27</v>
      </c>
    </row>
    <row r="92" spans="1:36" x14ac:dyDescent="0.4">
      <c r="A92" t="s">
        <v>509</v>
      </c>
      <c r="B92">
        <v>90</v>
      </c>
      <c r="C92" t="s">
        <v>56</v>
      </c>
      <c r="D92">
        <v>1</v>
      </c>
      <c r="F92">
        <v>1</v>
      </c>
      <c r="G92" t="s">
        <v>57</v>
      </c>
      <c r="H92" t="s">
        <v>122</v>
      </c>
      <c r="I92" t="s">
        <v>85</v>
      </c>
      <c r="K92" t="s">
        <v>48</v>
      </c>
      <c r="L92">
        <v>2</v>
      </c>
      <c r="N92">
        <v>2</v>
      </c>
      <c r="O92" t="s">
        <v>49</v>
      </c>
      <c r="P92" t="s">
        <v>71</v>
      </c>
      <c r="Q92" t="s">
        <v>51</v>
      </c>
      <c r="S92" t="s">
        <v>53</v>
      </c>
      <c r="T92">
        <v>1</v>
      </c>
      <c r="U92">
        <v>1</v>
      </c>
      <c r="V92">
        <v>1</v>
      </c>
      <c r="W92" t="s">
        <v>54</v>
      </c>
      <c r="AA92" t="s">
        <v>38</v>
      </c>
      <c r="AB92">
        <v>1</v>
      </c>
      <c r="AC92">
        <v>1</v>
      </c>
      <c r="AD92">
        <v>2</v>
      </c>
      <c r="AE92" t="s">
        <v>152</v>
      </c>
      <c r="AI92">
        <v>7</v>
      </c>
      <c r="AJ92">
        <v>31</v>
      </c>
    </row>
    <row r="93" spans="1:36" x14ac:dyDescent="0.4">
      <c r="A93" t="s">
        <v>510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K93" t="s">
        <v>33</v>
      </c>
      <c r="L93">
        <v>2</v>
      </c>
      <c r="N93">
        <v>1</v>
      </c>
      <c r="O93" t="s">
        <v>46</v>
      </c>
      <c r="P93" t="s">
        <v>66</v>
      </c>
      <c r="S93" t="s">
        <v>53</v>
      </c>
      <c r="T93">
        <v>2</v>
      </c>
      <c r="U93">
        <v>1</v>
      </c>
      <c r="V93">
        <v>1</v>
      </c>
      <c r="W93" t="s">
        <v>54</v>
      </c>
      <c r="AA93" t="s">
        <v>38</v>
      </c>
      <c r="AB93">
        <v>1</v>
      </c>
      <c r="AC93">
        <v>1</v>
      </c>
      <c r="AD93">
        <v>1</v>
      </c>
      <c r="AE93" t="s">
        <v>152</v>
      </c>
      <c r="AI93">
        <v>4</v>
      </c>
      <c r="AJ93">
        <v>43</v>
      </c>
    </row>
    <row r="94" spans="1:36" x14ac:dyDescent="0.4">
      <c r="A94" t="s">
        <v>511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K94" t="s">
        <v>43</v>
      </c>
      <c r="L94">
        <v>1</v>
      </c>
      <c r="N94">
        <v>3</v>
      </c>
      <c r="O94" t="s">
        <v>135</v>
      </c>
      <c r="P94" t="s">
        <v>99</v>
      </c>
      <c r="S94" t="s">
        <v>53</v>
      </c>
      <c r="T94">
        <v>2</v>
      </c>
      <c r="U94">
        <v>1</v>
      </c>
      <c r="V94">
        <v>3</v>
      </c>
      <c r="W94" t="s">
        <v>54</v>
      </c>
      <c r="AA94" t="s">
        <v>38</v>
      </c>
      <c r="AB94">
        <v>1</v>
      </c>
      <c r="AC94">
        <v>2</v>
      </c>
      <c r="AD94">
        <v>1</v>
      </c>
      <c r="AE94" t="s">
        <v>67</v>
      </c>
      <c r="AI94">
        <v>8</v>
      </c>
      <c r="AJ94">
        <v>32</v>
      </c>
    </row>
    <row r="95" spans="1:36" x14ac:dyDescent="0.4">
      <c r="A95" t="s">
        <v>512</v>
      </c>
      <c r="B95">
        <v>93</v>
      </c>
      <c r="C95" t="s">
        <v>53</v>
      </c>
      <c r="D95">
        <v>3</v>
      </c>
      <c r="E95">
        <v>1</v>
      </c>
      <c r="F95">
        <v>2</v>
      </c>
      <c r="G95" t="s">
        <v>54</v>
      </c>
      <c r="H95" t="s">
        <v>55</v>
      </c>
      <c r="K95" t="s">
        <v>38</v>
      </c>
      <c r="L95">
        <v>1</v>
      </c>
      <c r="M95">
        <v>1</v>
      </c>
      <c r="N95">
        <v>1</v>
      </c>
      <c r="O95" t="s">
        <v>152</v>
      </c>
      <c r="S95" t="s">
        <v>56</v>
      </c>
      <c r="T95">
        <v>1</v>
      </c>
      <c r="V95">
        <v>1</v>
      </c>
      <c r="W95" t="s">
        <v>57</v>
      </c>
      <c r="X95" t="s">
        <v>122</v>
      </c>
      <c r="AA95" t="s">
        <v>45</v>
      </c>
      <c r="AB95">
        <v>2</v>
      </c>
      <c r="AD95">
        <v>2</v>
      </c>
      <c r="AE95" t="s">
        <v>47</v>
      </c>
      <c r="AF95" t="s">
        <v>76</v>
      </c>
      <c r="AI95">
        <v>8</v>
      </c>
      <c r="AJ95">
        <v>28</v>
      </c>
    </row>
    <row r="96" spans="1:36" x14ac:dyDescent="0.4">
      <c r="A96" t="s">
        <v>513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S96" t="s">
        <v>53</v>
      </c>
      <c r="T96">
        <v>1</v>
      </c>
      <c r="U96">
        <v>1</v>
      </c>
      <c r="V96">
        <v>1</v>
      </c>
      <c r="W96" t="s">
        <v>54</v>
      </c>
      <c r="X96" t="s">
        <v>55</v>
      </c>
      <c r="AA96" t="s">
        <v>38</v>
      </c>
      <c r="AB96">
        <v>1</v>
      </c>
      <c r="AC96">
        <v>1</v>
      </c>
      <c r="AD96">
        <v>1</v>
      </c>
      <c r="AE96" t="s">
        <v>67</v>
      </c>
      <c r="AI96">
        <v>3</v>
      </c>
      <c r="AJ96">
        <v>29</v>
      </c>
    </row>
    <row r="97" spans="1:36" x14ac:dyDescent="0.4">
      <c r="A97" t="s">
        <v>514</v>
      </c>
      <c r="B97">
        <v>95</v>
      </c>
      <c r="C97" t="s">
        <v>48</v>
      </c>
      <c r="D97">
        <v>1</v>
      </c>
      <c r="F97">
        <v>1</v>
      </c>
      <c r="G97" t="s">
        <v>49</v>
      </c>
      <c r="H97" t="s">
        <v>71</v>
      </c>
      <c r="I97" t="s">
        <v>51</v>
      </c>
      <c r="K97" t="s">
        <v>33</v>
      </c>
      <c r="L97">
        <v>2</v>
      </c>
      <c r="N97">
        <v>1</v>
      </c>
      <c r="O97" t="s">
        <v>46</v>
      </c>
      <c r="P97" t="s">
        <v>66</v>
      </c>
      <c r="Q97" t="s">
        <v>36</v>
      </c>
      <c r="S97" t="s">
        <v>53</v>
      </c>
      <c r="T97">
        <v>1</v>
      </c>
      <c r="U97">
        <v>1</v>
      </c>
      <c r="V97">
        <v>1</v>
      </c>
      <c r="W97" t="s">
        <v>54</v>
      </c>
      <c r="X97" t="s">
        <v>83</v>
      </c>
      <c r="AA97" t="s">
        <v>38</v>
      </c>
      <c r="AB97">
        <v>3</v>
      </c>
      <c r="AC97">
        <v>2</v>
      </c>
      <c r="AD97">
        <v>1</v>
      </c>
      <c r="AE97" t="s">
        <v>152</v>
      </c>
      <c r="AF97" t="s">
        <v>96</v>
      </c>
      <c r="AI97">
        <v>10</v>
      </c>
      <c r="AJ97">
        <v>80</v>
      </c>
    </row>
    <row r="98" spans="1:36" x14ac:dyDescent="0.4">
      <c r="A98" t="s">
        <v>515</v>
      </c>
      <c r="B98">
        <v>96</v>
      </c>
      <c r="C98" t="s">
        <v>53</v>
      </c>
      <c r="D98">
        <v>2</v>
      </c>
      <c r="E98">
        <v>1</v>
      </c>
      <c r="F98">
        <v>1</v>
      </c>
      <c r="G98" t="s">
        <v>54</v>
      </c>
      <c r="H98" t="s">
        <v>83</v>
      </c>
      <c r="I98" t="s">
        <v>114</v>
      </c>
      <c r="K98" t="s">
        <v>38</v>
      </c>
      <c r="L98">
        <v>1</v>
      </c>
      <c r="M98">
        <v>1</v>
      </c>
      <c r="N98">
        <v>1</v>
      </c>
      <c r="O98" t="s">
        <v>152</v>
      </c>
      <c r="S98" t="s">
        <v>48</v>
      </c>
      <c r="T98">
        <v>1</v>
      </c>
      <c r="V98">
        <v>1</v>
      </c>
      <c r="W98" t="s">
        <v>49</v>
      </c>
      <c r="AA98" t="s">
        <v>43</v>
      </c>
      <c r="AB98">
        <v>2</v>
      </c>
      <c r="AD98">
        <v>1</v>
      </c>
      <c r="AE98" t="s">
        <v>135</v>
      </c>
      <c r="AF98" t="s">
        <v>99</v>
      </c>
      <c r="AI98">
        <v>5</v>
      </c>
      <c r="AJ98">
        <v>30</v>
      </c>
    </row>
    <row r="99" spans="1:36" x14ac:dyDescent="0.4">
      <c r="A99" t="s">
        <v>516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H99" t="s">
        <v>55</v>
      </c>
      <c r="K99" t="s">
        <v>38</v>
      </c>
      <c r="L99">
        <v>3</v>
      </c>
      <c r="M99">
        <v>1</v>
      </c>
      <c r="N99">
        <v>1</v>
      </c>
      <c r="O99" t="s">
        <v>67</v>
      </c>
      <c r="S99" t="s">
        <v>48</v>
      </c>
      <c r="T99">
        <v>1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86</v>
      </c>
      <c r="AI99">
        <v>5</v>
      </c>
      <c r="AJ99">
        <v>26</v>
      </c>
    </row>
    <row r="100" spans="1:36" x14ac:dyDescent="0.4">
      <c r="A100" t="s">
        <v>517</v>
      </c>
      <c r="B100">
        <v>98</v>
      </c>
      <c r="C100" t="s">
        <v>48</v>
      </c>
      <c r="D100">
        <v>2</v>
      </c>
      <c r="F100">
        <v>1</v>
      </c>
      <c r="G100" t="s">
        <v>49</v>
      </c>
      <c r="H100" t="s">
        <v>71</v>
      </c>
      <c r="K100" t="s">
        <v>63</v>
      </c>
      <c r="L100">
        <v>2</v>
      </c>
      <c r="N100">
        <v>1</v>
      </c>
      <c r="O100" t="s">
        <v>103</v>
      </c>
      <c r="S100" t="s">
        <v>53</v>
      </c>
      <c r="T100">
        <v>1</v>
      </c>
      <c r="U100">
        <v>1</v>
      </c>
      <c r="V100">
        <v>1</v>
      </c>
      <c r="W100" t="s">
        <v>54</v>
      </c>
      <c r="X100" t="s">
        <v>83</v>
      </c>
      <c r="AA100" t="s">
        <v>38</v>
      </c>
      <c r="AB100">
        <v>1</v>
      </c>
      <c r="AC100">
        <v>1</v>
      </c>
      <c r="AD100">
        <v>1</v>
      </c>
      <c r="AE100" t="s">
        <v>152</v>
      </c>
      <c r="AF100" t="s">
        <v>40</v>
      </c>
      <c r="AI100">
        <v>5</v>
      </c>
      <c r="AJ100">
        <v>35</v>
      </c>
    </row>
    <row r="101" spans="1:36" x14ac:dyDescent="0.4">
      <c r="A101" t="s">
        <v>518</v>
      </c>
      <c r="B101">
        <v>99</v>
      </c>
      <c r="C101" t="s">
        <v>53</v>
      </c>
      <c r="D101">
        <v>3</v>
      </c>
      <c r="E101">
        <v>1</v>
      </c>
      <c r="F101">
        <v>2</v>
      </c>
      <c r="G101" t="s">
        <v>54</v>
      </c>
      <c r="H101" t="s">
        <v>83</v>
      </c>
      <c r="I101" t="s">
        <v>97</v>
      </c>
      <c r="K101" t="s">
        <v>38</v>
      </c>
      <c r="L101">
        <v>1</v>
      </c>
      <c r="M101">
        <v>3</v>
      </c>
      <c r="N101">
        <v>1</v>
      </c>
      <c r="O101" t="s">
        <v>67</v>
      </c>
      <c r="P101" t="s">
        <v>70</v>
      </c>
      <c r="Q101" t="s">
        <v>153</v>
      </c>
      <c r="S101" t="s">
        <v>33</v>
      </c>
      <c r="T101">
        <v>1</v>
      </c>
      <c r="V101">
        <v>1</v>
      </c>
      <c r="W101" t="s">
        <v>46</v>
      </c>
      <c r="AA101" t="s">
        <v>43</v>
      </c>
      <c r="AB101">
        <v>2</v>
      </c>
      <c r="AD101">
        <v>3</v>
      </c>
      <c r="AE101" t="s">
        <v>135</v>
      </c>
      <c r="AF101" t="s">
        <v>99</v>
      </c>
      <c r="AI101">
        <v>13</v>
      </c>
      <c r="AJ101">
        <v>45</v>
      </c>
    </row>
    <row r="102" spans="1:36" x14ac:dyDescent="0.4">
      <c r="A102" t="s">
        <v>519</v>
      </c>
      <c r="B102">
        <v>100</v>
      </c>
      <c r="C102" t="s">
        <v>53</v>
      </c>
      <c r="D102">
        <v>1</v>
      </c>
      <c r="E102">
        <v>1</v>
      </c>
      <c r="F102">
        <v>2</v>
      </c>
      <c r="G102" t="s">
        <v>54</v>
      </c>
      <c r="H102" t="s">
        <v>55</v>
      </c>
      <c r="K102" t="s">
        <v>38</v>
      </c>
      <c r="L102">
        <v>1</v>
      </c>
      <c r="M102">
        <v>2</v>
      </c>
      <c r="N102">
        <v>1</v>
      </c>
      <c r="O102" t="s">
        <v>67</v>
      </c>
      <c r="S102" t="s">
        <v>33</v>
      </c>
      <c r="T102">
        <v>2</v>
      </c>
      <c r="V102">
        <v>1</v>
      </c>
      <c r="W102" t="s">
        <v>46</v>
      </c>
      <c r="AA102" t="s">
        <v>45</v>
      </c>
      <c r="AB102">
        <v>2</v>
      </c>
      <c r="AD102">
        <v>1</v>
      </c>
      <c r="AE102" t="s">
        <v>47</v>
      </c>
      <c r="AI102">
        <v>5</v>
      </c>
      <c r="AJ102">
        <v>24</v>
      </c>
    </row>
    <row r="103" spans="1:36" x14ac:dyDescent="0.4">
      <c r="A103" t="s">
        <v>520</v>
      </c>
      <c r="B103">
        <v>101</v>
      </c>
      <c r="C103" t="s">
        <v>33</v>
      </c>
      <c r="D103">
        <v>2</v>
      </c>
      <c r="F103">
        <v>1</v>
      </c>
      <c r="G103" t="s">
        <v>46</v>
      </c>
      <c r="H103" t="s">
        <v>66</v>
      </c>
      <c r="K103" t="s">
        <v>63</v>
      </c>
      <c r="L103">
        <v>1</v>
      </c>
      <c r="N103">
        <v>1</v>
      </c>
      <c r="O103" t="s">
        <v>103</v>
      </c>
      <c r="S103" t="s">
        <v>53</v>
      </c>
      <c r="T103">
        <v>1</v>
      </c>
      <c r="U103">
        <v>1</v>
      </c>
      <c r="V103">
        <v>1</v>
      </c>
      <c r="W103" t="s">
        <v>54</v>
      </c>
      <c r="AA103" t="s">
        <v>38</v>
      </c>
      <c r="AB103">
        <v>1</v>
      </c>
      <c r="AC103">
        <v>2</v>
      </c>
      <c r="AD103">
        <v>1</v>
      </c>
      <c r="AE103" t="s">
        <v>152</v>
      </c>
      <c r="AI103">
        <v>3</v>
      </c>
      <c r="AJ103">
        <v>30</v>
      </c>
    </row>
    <row r="104" spans="1:36" x14ac:dyDescent="0.4">
      <c r="A104" t="s">
        <v>521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54</v>
      </c>
      <c r="K104" t="s">
        <v>38</v>
      </c>
      <c r="L104">
        <v>1</v>
      </c>
      <c r="M104">
        <v>1</v>
      </c>
      <c r="N104">
        <v>2</v>
      </c>
      <c r="O104" t="s">
        <v>67</v>
      </c>
      <c r="S104" t="s">
        <v>43</v>
      </c>
      <c r="T104">
        <v>1</v>
      </c>
      <c r="V104">
        <v>1</v>
      </c>
      <c r="W104" t="s">
        <v>135</v>
      </c>
      <c r="X104" t="s">
        <v>99</v>
      </c>
      <c r="AA104" t="s">
        <v>45</v>
      </c>
      <c r="AB104">
        <v>3</v>
      </c>
      <c r="AD104">
        <v>1</v>
      </c>
      <c r="AE104" t="s">
        <v>47</v>
      </c>
      <c r="AI104">
        <v>4</v>
      </c>
      <c r="AJ104">
        <v>24</v>
      </c>
    </row>
    <row r="105" spans="1:36" x14ac:dyDescent="0.4">
      <c r="A105" t="s">
        <v>522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99</v>
      </c>
      <c r="K105" t="s">
        <v>63</v>
      </c>
      <c r="L105">
        <v>3</v>
      </c>
      <c r="N105">
        <v>2</v>
      </c>
      <c r="O105" t="s">
        <v>103</v>
      </c>
      <c r="S105" t="s">
        <v>53</v>
      </c>
      <c r="T105">
        <v>1</v>
      </c>
      <c r="U105">
        <v>1</v>
      </c>
      <c r="V105">
        <v>2</v>
      </c>
      <c r="W105" t="s">
        <v>111</v>
      </c>
      <c r="AA105" t="s">
        <v>38</v>
      </c>
      <c r="AB105">
        <v>3</v>
      </c>
      <c r="AC105">
        <v>3</v>
      </c>
      <c r="AD105">
        <v>2</v>
      </c>
      <c r="AE105" t="s">
        <v>67</v>
      </c>
      <c r="AI105">
        <v>10</v>
      </c>
      <c r="AJ105">
        <v>44</v>
      </c>
    </row>
    <row r="106" spans="1:36" x14ac:dyDescent="0.4">
      <c r="A106" t="s">
        <v>523</v>
      </c>
      <c r="B106">
        <v>104</v>
      </c>
      <c r="C106" t="s">
        <v>53</v>
      </c>
      <c r="D106">
        <v>3</v>
      </c>
      <c r="E106">
        <v>1</v>
      </c>
      <c r="F106">
        <v>2</v>
      </c>
      <c r="G106" t="s">
        <v>111</v>
      </c>
      <c r="H106" t="s">
        <v>55</v>
      </c>
      <c r="I106" t="s">
        <v>114</v>
      </c>
      <c r="K106" t="s">
        <v>38</v>
      </c>
      <c r="L106">
        <v>1</v>
      </c>
      <c r="M106">
        <v>1</v>
      </c>
      <c r="N106">
        <v>1</v>
      </c>
      <c r="O106" t="s">
        <v>152</v>
      </c>
      <c r="P106" t="s">
        <v>96</v>
      </c>
      <c r="S106" t="s">
        <v>45</v>
      </c>
      <c r="T106">
        <v>3</v>
      </c>
      <c r="V106">
        <v>1</v>
      </c>
      <c r="W106" t="s">
        <v>47</v>
      </c>
      <c r="X106" t="s">
        <v>76</v>
      </c>
      <c r="AA106" t="s">
        <v>63</v>
      </c>
      <c r="AB106">
        <v>3</v>
      </c>
      <c r="AD106">
        <v>1</v>
      </c>
      <c r="AE106" t="s">
        <v>103</v>
      </c>
      <c r="AI106">
        <v>11</v>
      </c>
      <c r="AJ106">
        <v>32</v>
      </c>
    </row>
    <row r="107" spans="1:36" x14ac:dyDescent="0.4">
      <c r="A107" t="s">
        <v>524</v>
      </c>
      <c r="B107">
        <v>105</v>
      </c>
      <c r="C107" t="s">
        <v>33</v>
      </c>
      <c r="D107">
        <v>2</v>
      </c>
      <c r="F107">
        <v>1</v>
      </c>
      <c r="G107" t="s">
        <v>46</v>
      </c>
      <c r="K107" t="s">
        <v>43</v>
      </c>
      <c r="L107">
        <v>1</v>
      </c>
      <c r="N107">
        <v>1</v>
      </c>
      <c r="O107" t="s">
        <v>135</v>
      </c>
      <c r="P107" t="s">
        <v>99</v>
      </c>
      <c r="S107" t="s">
        <v>56</v>
      </c>
      <c r="T107">
        <v>1</v>
      </c>
      <c r="V107">
        <v>1</v>
      </c>
      <c r="W107" t="s">
        <v>68</v>
      </c>
      <c r="AA107" t="s">
        <v>48</v>
      </c>
      <c r="AB107">
        <v>2</v>
      </c>
      <c r="AD107">
        <v>2</v>
      </c>
      <c r="AE107" t="s">
        <v>89</v>
      </c>
      <c r="AI107">
        <v>4</v>
      </c>
      <c r="AJ107">
        <v>33</v>
      </c>
    </row>
    <row r="108" spans="1:36" x14ac:dyDescent="0.4">
      <c r="A108" t="s">
        <v>525</v>
      </c>
      <c r="B108">
        <v>106</v>
      </c>
      <c r="C108" t="s">
        <v>33</v>
      </c>
      <c r="D108">
        <v>3</v>
      </c>
      <c r="F108">
        <v>2</v>
      </c>
      <c r="G108" t="s">
        <v>46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2</v>
      </c>
      <c r="V108">
        <v>1</v>
      </c>
      <c r="W108" t="s">
        <v>68</v>
      </c>
      <c r="X108" t="s">
        <v>69</v>
      </c>
      <c r="AA108" t="s">
        <v>48</v>
      </c>
      <c r="AB108">
        <v>2</v>
      </c>
      <c r="AD108">
        <v>1</v>
      </c>
      <c r="AE108" t="s">
        <v>89</v>
      </c>
      <c r="AI108">
        <v>7</v>
      </c>
      <c r="AJ108">
        <v>36</v>
      </c>
    </row>
    <row r="109" spans="1:36" x14ac:dyDescent="0.4">
      <c r="A109" t="s">
        <v>526</v>
      </c>
      <c r="B109">
        <v>107</v>
      </c>
      <c r="C109" t="s">
        <v>33</v>
      </c>
      <c r="D109">
        <v>3</v>
      </c>
      <c r="F109">
        <v>2</v>
      </c>
      <c r="G109" t="s">
        <v>46</v>
      </c>
      <c r="K109" t="s">
        <v>63</v>
      </c>
      <c r="L109">
        <v>2</v>
      </c>
      <c r="N109">
        <v>1</v>
      </c>
      <c r="O109" t="s">
        <v>103</v>
      </c>
      <c r="S109" t="s">
        <v>56</v>
      </c>
      <c r="T109">
        <v>2</v>
      </c>
      <c r="V109">
        <v>2</v>
      </c>
      <c r="W109" t="s">
        <v>68</v>
      </c>
      <c r="X109" t="s">
        <v>122</v>
      </c>
      <c r="AA109" t="s">
        <v>48</v>
      </c>
      <c r="AB109">
        <v>1</v>
      </c>
      <c r="AD109">
        <v>1</v>
      </c>
      <c r="AE109" t="s">
        <v>49</v>
      </c>
      <c r="AI109">
        <v>7</v>
      </c>
      <c r="AJ109">
        <v>31</v>
      </c>
    </row>
    <row r="110" spans="1:36" x14ac:dyDescent="0.4">
      <c r="A110" t="s">
        <v>527</v>
      </c>
      <c r="B110">
        <v>108</v>
      </c>
      <c r="C110" t="s">
        <v>33</v>
      </c>
      <c r="D110">
        <v>2</v>
      </c>
      <c r="F110">
        <v>1</v>
      </c>
      <c r="G110" t="s">
        <v>46</v>
      </c>
      <c r="H110" t="s">
        <v>35</v>
      </c>
      <c r="I110" t="s">
        <v>132</v>
      </c>
      <c r="K110" t="s">
        <v>38</v>
      </c>
      <c r="L110">
        <v>2</v>
      </c>
      <c r="M110">
        <v>1</v>
      </c>
      <c r="N110">
        <v>1</v>
      </c>
      <c r="O110" t="s">
        <v>152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1</v>
      </c>
      <c r="AD110">
        <v>1</v>
      </c>
      <c r="AE110" t="s">
        <v>89</v>
      </c>
      <c r="AI110">
        <v>4</v>
      </c>
      <c r="AJ110">
        <v>21</v>
      </c>
    </row>
    <row r="111" spans="1:36" x14ac:dyDescent="0.4">
      <c r="A111" t="s">
        <v>528</v>
      </c>
      <c r="B111">
        <v>109</v>
      </c>
      <c r="C111" t="s">
        <v>43</v>
      </c>
      <c r="D111">
        <v>2</v>
      </c>
      <c r="F111">
        <v>1</v>
      </c>
      <c r="G111" t="s">
        <v>135</v>
      </c>
      <c r="H111" t="s">
        <v>99</v>
      </c>
      <c r="I111" t="s">
        <v>75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2</v>
      </c>
      <c r="V111">
        <v>1</v>
      </c>
      <c r="W111" t="s">
        <v>68</v>
      </c>
      <c r="X111" t="s">
        <v>69</v>
      </c>
      <c r="Y111" t="s">
        <v>85</v>
      </c>
      <c r="AA111" t="s">
        <v>48</v>
      </c>
      <c r="AB111">
        <v>1</v>
      </c>
      <c r="AD111">
        <v>1</v>
      </c>
      <c r="AE111" t="s">
        <v>89</v>
      </c>
      <c r="AI111">
        <v>7</v>
      </c>
      <c r="AJ111">
        <v>32</v>
      </c>
    </row>
    <row r="112" spans="1:36" x14ac:dyDescent="0.4">
      <c r="A112" t="s">
        <v>529</v>
      </c>
      <c r="B112">
        <v>110</v>
      </c>
      <c r="C112" t="s">
        <v>43</v>
      </c>
      <c r="D112">
        <v>2</v>
      </c>
      <c r="F112">
        <v>1</v>
      </c>
      <c r="G112" t="s">
        <v>135</v>
      </c>
      <c r="H112" t="s">
        <v>99</v>
      </c>
      <c r="K112" t="s">
        <v>63</v>
      </c>
      <c r="L112">
        <v>2</v>
      </c>
      <c r="N112">
        <v>1</v>
      </c>
      <c r="O112" t="s">
        <v>103</v>
      </c>
      <c r="S112" t="s">
        <v>56</v>
      </c>
      <c r="T112">
        <v>1</v>
      </c>
      <c r="V112">
        <v>2</v>
      </c>
      <c r="W112" t="s">
        <v>68</v>
      </c>
      <c r="AA112" t="s">
        <v>48</v>
      </c>
      <c r="AB112">
        <v>1</v>
      </c>
      <c r="AD112">
        <v>1</v>
      </c>
      <c r="AE112" t="s">
        <v>49</v>
      </c>
      <c r="AI112">
        <v>4</v>
      </c>
      <c r="AJ112">
        <v>31</v>
      </c>
    </row>
    <row r="113" spans="1:36" x14ac:dyDescent="0.4">
      <c r="A113" t="s">
        <v>530</v>
      </c>
      <c r="B113">
        <v>111</v>
      </c>
      <c r="C113" t="s">
        <v>43</v>
      </c>
      <c r="D113">
        <v>3</v>
      </c>
      <c r="F113">
        <v>2</v>
      </c>
      <c r="G113" t="s">
        <v>135</v>
      </c>
      <c r="H113" t="s">
        <v>99</v>
      </c>
      <c r="I113" t="s">
        <v>100</v>
      </c>
      <c r="J113" t="s">
        <v>139</v>
      </c>
      <c r="K113" t="s">
        <v>38</v>
      </c>
      <c r="L113">
        <v>1</v>
      </c>
      <c r="M113">
        <v>1</v>
      </c>
      <c r="N113">
        <v>1</v>
      </c>
      <c r="O113" t="s">
        <v>152</v>
      </c>
      <c r="P113" t="s">
        <v>40</v>
      </c>
      <c r="S113" t="s">
        <v>56</v>
      </c>
      <c r="T113">
        <v>1</v>
      </c>
      <c r="V113">
        <v>1</v>
      </c>
      <c r="W113" t="s">
        <v>68</v>
      </c>
      <c r="AA113" t="s">
        <v>48</v>
      </c>
      <c r="AB113">
        <v>2</v>
      </c>
      <c r="AD113">
        <v>1</v>
      </c>
      <c r="AE113" t="s">
        <v>89</v>
      </c>
      <c r="AI113">
        <v>8</v>
      </c>
      <c r="AJ113">
        <v>28</v>
      </c>
    </row>
    <row r="114" spans="1:36" x14ac:dyDescent="0.4">
      <c r="A114" t="s">
        <v>531</v>
      </c>
      <c r="B114">
        <v>112</v>
      </c>
      <c r="C114" t="s">
        <v>56</v>
      </c>
      <c r="D114">
        <v>2</v>
      </c>
      <c r="F114">
        <v>2</v>
      </c>
      <c r="G114" t="s">
        <v>57</v>
      </c>
      <c r="H114" t="s">
        <v>122</v>
      </c>
      <c r="K114" t="s">
        <v>48</v>
      </c>
      <c r="L114">
        <v>1</v>
      </c>
      <c r="N114">
        <v>1</v>
      </c>
      <c r="O114" t="s">
        <v>49</v>
      </c>
      <c r="P114" t="s">
        <v>50</v>
      </c>
      <c r="Q114" t="s">
        <v>127</v>
      </c>
      <c r="S114" t="s">
        <v>45</v>
      </c>
      <c r="T114">
        <v>3</v>
      </c>
      <c r="V114">
        <v>1</v>
      </c>
      <c r="W114" t="s">
        <v>47</v>
      </c>
      <c r="AA114" t="s">
        <v>63</v>
      </c>
      <c r="AB114">
        <v>1</v>
      </c>
      <c r="AD114">
        <v>1</v>
      </c>
      <c r="AE114" t="s">
        <v>103</v>
      </c>
      <c r="AI114">
        <v>7</v>
      </c>
      <c r="AJ114">
        <v>25</v>
      </c>
    </row>
    <row r="115" spans="1:36" x14ac:dyDescent="0.4">
      <c r="A115" t="s">
        <v>532</v>
      </c>
      <c r="B115">
        <v>113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1</v>
      </c>
      <c r="N115">
        <v>1</v>
      </c>
      <c r="O115" t="s">
        <v>89</v>
      </c>
      <c r="P115" t="s">
        <v>50</v>
      </c>
      <c r="Q115" t="s">
        <v>90</v>
      </c>
      <c r="R115" t="s">
        <v>52</v>
      </c>
      <c r="S115" t="s">
        <v>45</v>
      </c>
      <c r="T115">
        <v>3</v>
      </c>
      <c r="V115">
        <v>2</v>
      </c>
      <c r="W115" t="s">
        <v>86</v>
      </c>
      <c r="X115" t="s">
        <v>76</v>
      </c>
      <c r="AA115" t="s">
        <v>38</v>
      </c>
      <c r="AB115">
        <v>2</v>
      </c>
      <c r="AC115">
        <v>1</v>
      </c>
      <c r="AD115">
        <v>1</v>
      </c>
      <c r="AE115" t="s">
        <v>152</v>
      </c>
      <c r="AI115">
        <v>8</v>
      </c>
      <c r="AJ115">
        <v>47</v>
      </c>
    </row>
    <row r="116" spans="1:36" x14ac:dyDescent="0.4">
      <c r="A116" t="s">
        <v>533</v>
      </c>
      <c r="B116">
        <v>114</v>
      </c>
      <c r="C116" t="s">
        <v>63</v>
      </c>
      <c r="D116">
        <v>2</v>
      </c>
      <c r="F116">
        <v>2</v>
      </c>
      <c r="G116" t="s">
        <v>72</v>
      </c>
      <c r="H116" t="s">
        <v>146</v>
      </c>
      <c r="I116" t="s">
        <v>147</v>
      </c>
      <c r="K116" t="s">
        <v>38</v>
      </c>
      <c r="L116">
        <v>2</v>
      </c>
      <c r="M116">
        <v>1</v>
      </c>
      <c r="N116">
        <v>1</v>
      </c>
      <c r="O116" t="s">
        <v>152</v>
      </c>
      <c r="S116" t="s">
        <v>56</v>
      </c>
      <c r="T116">
        <v>1</v>
      </c>
      <c r="V116">
        <v>1</v>
      </c>
      <c r="W116" t="s">
        <v>57</v>
      </c>
      <c r="AA116" t="s">
        <v>48</v>
      </c>
      <c r="AB116">
        <v>1</v>
      </c>
      <c r="AD116">
        <v>2</v>
      </c>
      <c r="AE116" t="s">
        <v>49</v>
      </c>
      <c r="AF116" t="s">
        <v>50</v>
      </c>
      <c r="AG116" t="s">
        <v>127</v>
      </c>
      <c r="AH116" t="s">
        <v>52</v>
      </c>
      <c r="AI116">
        <v>9</v>
      </c>
      <c r="AJ116">
        <v>39</v>
      </c>
    </row>
    <row r="117" spans="1:36" x14ac:dyDescent="0.4">
      <c r="A117" t="s">
        <v>534</v>
      </c>
      <c r="B117">
        <v>115</v>
      </c>
      <c r="C117" t="s">
        <v>56</v>
      </c>
      <c r="D117">
        <v>1</v>
      </c>
      <c r="F117">
        <v>1</v>
      </c>
      <c r="G117" t="s">
        <v>120</v>
      </c>
      <c r="H117" t="s">
        <v>69</v>
      </c>
      <c r="K117" t="s">
        <v>33</v>
      </c>
      <c r="L117">
        <v>2</v>
      </c>
      <c r="N117">
        <v>1</v>
      </c>
      <c r="O117" t="s">
        <v>46</v>
      </c>
      <c r="S117" t="s">
        <v>48</v>
      </c>
      <c r="T117">
        <v>2</v>
      </c>
      <c r="V117">
        <v>1</v>
      </c>
      <c r="W117" t="s">
        <v>49</v>
      </c>
      <c r="AA117" t="s">
        <v>43</v>
      </c>
      <c r="AB117">
        <v>1</v>
      </c>
      <c r="AD117">
        <v>3</v>
      </c>
      <c r="AE117" t="s">
        <v>135</v>
      </c>
      <c r="AF117" t="s">
        <v>99</v>
      </c>
      <c r="AI117">
        <v>6</v>
      </c>
      <c r="AJ117">
        <v>39</v>
      </c>
    </row>
    <row r="118" spans="1:36" x14ac:dyDescent="0.4">
      <c r="A118" t="s">
        <v>535</v>
      </c>
      <c r="B118">
        <v>116</v>
      </c>
      <c r="C118" t="s">
        <v>48</v>
      </c>
      <c r="D118">
        <v>1</v>
      </c>
      <c r="F118">
        <v>1</v>
      </c>
      <c r="G118" t="s">
        <v>49</v>
      </c>
      <c r="K118" t="s">
        <v>45</v>
      </c>
      <c r="L118">
        <v>2</v>
      </c>
      <c r="N118">
        <v>1</v>
      </c>
      <c r="O118" t="s">
        <v>47</v>
      </c>
      <c r="S118" t="s">
        <v>56</v>
      </c>
      <c r="T118">
        <v>1</v>
      </c>
      <c r="V118">
        <v>1</v>
      </c>
      <c r="W118" t="s">
        <v>57</v>
      </c>
      <c r="AA118" t="s">
        <v>33</v>
      </c>
      <c r="AB118">
        <v>2</v>
      </c>
      <c r="AD118">
        <v>1</v>
      </c>
      <c r="AE118" t="s">
        <v>46</v>
      </c>
      <c r="AF118" t="s">
        <v>66</v>
      </c>
      <c r="AI118">
        <v>3</v>
      </c>
      <c r="AJ118">
        <v>23</v>
      </c>
    </row>
    <row r="119" spans="1:36" x14ac:dyDescent="0.4">
      <c r="A119" t="s">
        <v>536</v>
      </c>
      <c r="B119">
        <v>117</v>
      </c>
      <c r="C119" t="s">
        <v>56</v>
      </c>
      <c r="D119">
        <v>2</v>
      </c>
      <c r="F119">
        <v>1</v>
      </c>
      <c r="G119" t="s">
        <v>57</v>
      </c>
      <c r="H119" t="s">
        <v>122</v>
      </c>
      <c r="K119" t="s">
        <v>33</v>
      </c>
      <c r="L119">
        <v>3</v>
      </c>
      <c r="N119">
        <v>1</v>
      </c>
      <c r="O119" t="s">
        <v>46</v>
      </c>
      <c r="S119" t="s">
        <v>48</v>
      </c>
      <c r="T119">
        <v>3</v>
      </c>
      <c r="V119">
        <v>1</v>
      </c>
      <c r="W119" t="s">
        <v>49</v>
      </c>
      <c r="AA119" t="s">
        <v>63</v>
      </c>
      <c r="AB119">
        <v>1</v>
      </c>
      <c r="AD119">
        <v>1</v>
      </c>
      <c r="AE119" t="s">
        <v>72</v>
      </c>
      <c r="AI119">
        <v>6</v>
      </c>
      <c r="AJ119">
        <v>21</v>
      </c>
    </row>
    <row r="120" spans="1:36" x14ac:dyDescent="0.4">
      <c r="A120" t="s">
        <v>537</v>
      </c>
      <c r="B120">
        <v>118</v>
      </c>
      <c r="C120" t="s">
        <v>48</v>
      </c>
      <c r="D120">
        <v>2</v>
      </c>
      <c r="F120">
        <v>1</v>
      </c>
      <c r="G120" t="s">
        <v>49</v>
      </c>
      <c r="K120" t="s">
        <v>38</v>
      </c>
      <c r="L120">
        <v>1</v>
      </c>
      <c r="M120">
        <v>3</v>
      </c>
      <c r="N120">
        <v>2</v>
      </c>
      <c r="O120" t="s">
        <v>152</v>
      </c>
      <c r="P120" t="s">
        <v>70</v>
      </c>
      <c r="S120" t="s">
        <v>56</v>
      </c>
      <c r="T120">
        <v>1</v>
      </c>
      <c r="V120">
        <v>1</v>
      </c>
      <c r="W120" t="s">
        <v>57</v>
      </c>
      <c r="X120" t="s">
        <v>122</v>
      </c>
      <c r="AA120" t="s">
        <v>33</v>
      </c>
      <c r="AB120">
        <v>1</v>
      </c>
      <c r="AD120">
        <v>1</v>
      </c>
      <c r="AE120" t="s">
        <v>46</v>
      </c>
      <c r="AI120">
        <v>6</v>
      </c>
      <c r="AJ120">
        <v>23</v>
      </c>
    </row>
    <row r="121" spans="1:36" x14ac:dyDescent="0.4">
      <c r="A121" s="4" t="s">
        <v>538</v>
      </c>
      <c r="B121">
        <v>119</v>
      </c>
      <c r="C121" t="s">
        <v>56</v>
      </c>
      <c r="D121">
        <v>2</v>
      </c>
      <c r="F121">
        <v>3</v>
      </c>
      <c r="G121" t="s">
        <v>68</v>
      </c>
      <c r="H121" t="s">
        <v>69</v>
      </c>
      <c r="I121" t="s">
        <v>87</v>
      </c>
      <c r="K121" t="s">
        <v>33</v>
      </c>
      <c r="L121">
        <v>1</v>
      </c>
      <c r="N121">
        <v>1</v>
      </c>
      <c r="O121" t="s">
        <v>34</v>
      </c>
      <c r="S121" t="s">
        <v>43</v>
      </c>
      <c r="T121">
        <v>1</v>
      </c>
      <c r="V121">
        <v>1</v>
      </c>
      <c r="W121" t="s">
        <v>135</v>
      </c>
      <c r="AA121" t="s">
        <v>45</v>
      </c>
      <c r="AB121">
        <v>3</v>
      </c>
      <c r="AD121">
        <v>1</v>
      </c>
      <c r="AE121" t="s">
        <v>47</v>
      </c>
      <c r="AI121">
        <v>7</v>
      </c>
      <c r="AJ121">
        <v>35</v>
      </c>
    </row>
    <row r="122" spans="1:36" x14ac:dyDescent="0.4">
      <c r="A122" t="s">
        <v>539</v>
      </c>
      <c r="B122">
        <v>120</v>
      </c>
      <c r="C122" t="s">
        <v>43</v>
      </c>
      <c r="D122">
        <v>2</v>
      </c>
      <c r="F122">
        <v>1</v>
      </c>
      <c r="G122" t="s">
        <v>135</v>
      </c>
      <c r="H122" t="s">
        <v>99</v>
      </c>
      <c r="K122" t="s">
        <v>63</v>
      </c>
      <c r="L122">
        <v>1</v>
      </c>
      <c r="N122">
        <v>1</v>
      </c>
      <c r="O122" t="s">
        <v>72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2</v>
      </c>
      <c r="AD122">
        <v>1</v>
      </c>
      <c r="AE122" t="s">
        <v>46</v>
      </c>
      <c r="AI122">
        <v>3</v>
      </c>
      <c r="AJ122">
        <v>23</v>
      </c>
    </row>
    <row r="123" spans="1:36" x14ac:dyDescent="0.4">
      <c r="A123" t="s">
        <v>540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136</v>
      </c>
      <c r="K123" t="s">
        <v>38</v>
      </c>
      <c r="L123">
        <v>1</v>
      </c>
      <c r="M123">
        <v>2</v>
      </c>
      <c r="N123">
        <v>1</v>
      </c>
      <c r="O123" t="s">
        <v>152</v>
      </c>
      <c r="P123" t="s">
        <v>70</v>
      </c>
      <c r="S123" t="s">
        <v>56</v>
      </c>
      <c r="T123">
        <v>1</v>
      </c>
      <c r="V123">
        <v>1</v>
      </c>
      <c r="W123" t="s">
        <v>68</v>
      </c>
      <c r="AA123" t="s">
        <v>33</v>
      </c>
      <c r="AB123">
        <v>1</v>
      </c>
      <c r="AD123">
        <v>1</v>
      </c>
      <c r="AE123" t="s">
        <v>46</v>
      </c>
      <c r="AI123">
        <v>4</v>
      </c>
      <c r="AJ123">
        <v>24</v>
      </c>
    </row>
    <row r="124" spans="1:36" x14ac:dyDescent="0.4">
      <c r="A124" t="s">
        <v>541</v>
      </c>
      <c r="B124">
        <v>122</v>
      </c>
      <c r="C124" t="s">
        <v>56</v>
      </c>
      <c r="D124">
        <v>1</v>
      </c>
      <c r="F124">
        <v>1</v>
      </c>
      <c r="G124" t="s">
        <v>68</v>
      </c>
      <c r="K124" t="s">
        <v>33</v>
      </c>
      <c r="L124">
        <v>2</v>
      </c>
      <c r="N124">
        <v>2</v>
      </c>
      <c r="O124" t="s">
        <v>46</v>
      </c>
      <c r="P124" t="s">
        <v>35</v>
      </c>
      <c r="Q124" t="s">
        <v>36</v>
      </c>
      <c r="S124" t="s">
        <v>45</v>
      </c>
      <c r="T124">
        <v>2</v>
      </c>
      <c r="V124">
        <v>1</v>
      </c>
      <c r="W124" t="s">
        <v>47</v>
      </c>
      <c r="AA124" t="s">
        <v>63</v>
      </c>
      <c r="AB124">
        <v>2</v>
      </c>
      <c r="AD124">
        <v>1</v>
      </c>
      <c r="AE124" t="s">
        <v>103</v>
      </c>
      <c r="AI124">
        <v>6</v>
      </c>
      <c r="AJ124">
        <v>31</v>
      </c>
    </row>
    <row r="125" spans="1:36" x14ac:dyDescent="0.4">
      <c r="A125" t="s">
        <v>542</v>
      </c>
      <c r="B125">
        <v>123</v>
      </c>
      <c r="C125" t="s">
        <v>56</v>
      </c>
      <c r="D125">
        <v>2</v>
      </c>
      <c r="F125">
        <v>2</v>
      </c>
      <c r="G125" t="s">
        <v>68</v>
      </c>
      <c r="H125" t="s">
        <v>122</v>
      </c>
      <c r="K125" t="s">
        <v>33</v>
      </c>
      <c r="L125">
        <v>1</v>
      </c>
      <c r="N125">
        <v>1</v>
      </c>
      <c r="O125" t="s">
        <v>46</v>
      </c>
      <c r="P125" t="s">
        <v>130</v>
      </c>
      <c r="Q125" t="s">
        <v>132</v>
      </c>
      <c r="S125" t="s">
        <v>45</v>
      </c>
      <c r="T125">
        <v>3</v>
      </c>
      <c r="V125">
        <v>1</v>
      </c>
      <c r="W125" t="s">
        <v>47</v>
      </c>
      <c r="AA125" t="s">
        <v>38</v>
      </c>
      <c r="AB125">
        <v>2</v>
      </c>
      <c r="AC125">
        <v>3</v>
      </c>
      <c r="AD125">
        <v>1</v>
      </c>
      <c r="AE125" t="s">
        <v>152</v>
      </c>
      <c r="AI125">
        <v>10</v>
      </c>
      <c r="AJ125">
        <v>32</v>
      </c>
    </row>
    <row r="126" spans="1:36" x14ac:dyDescent="0.4">
      <c r="A126" t="s">
        <v>543</v>
      </c>
      <c r="B126">
        <v>124</v>
      </c>
      <c r="C126" t="s">
        <v>56</v>
      </c>
      <c r="D126">
        <v>2</v>
      </c>
      <c r="F126">
        <v>1</v>
      </c>
      <c r="G126" t="s">
        <v>57</v>
      </c>
      <c r="H126" t="s">
        <v>122</v>
      </c>
      <c r="K126" t="s">
        <v>33</v>
      </c>
      <c r="L126">
        <v>2</v>
      </c>
      <c r="N126">
        <v>1</v>
      </c>
      <c r="O126" t="s">
        <v>46</v>
      </c>
      <c r="S126" t="s">
        <v>63</v>
      </c>
      <c r="T126">
        <v>1</v>
      </c>
      <c r="V126">
        <v>2</v>
      </c>
      <c r="W126" t="s">
        <v>72</v>
      </c>
      <c r="AA126" t="s">
        <v>38</v>
      </c>
      <c r="AB126">
        <v>1</v>
      </c>
      <c r="AC126">
        <v>2</v>
      </c>
      <c r="AD126">
        <v>1</v>
      </c>
      <c r="AE126" t="s">
        <v>152</v>
      </c>
      <c r="AI126">
        <v>5</v>
      </c>
      <c r="AJ126">
        <v>25</v>
      </c>
    </row>
    <row r="127" spans="1:36" x14ac:dyDescent="0.4">
      <c r="A127" t="s">
        <v>544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2</v>
      </c>
      <c r="O127" t="s">
        <v>135</v>
      </c>
      <c r="P127" t="s">
        <v>99</v>
      </c>
      <c r="S127" t="s">
        <v>48</v>
      </c>
      <c r="T127">
        <v>1</v>
      </c>
      <c r="V127">
        <v>1</v>
      </c>
      <c r="W127" t="s">
        <v>89</v>
      </c>
      <c r="X127" t="s">
        <v>50</v>
      </c>
      <c r="AA127" t="s">
        <v>33</v>
      </c>
      <c r="AB127">
        <v>2</v>
      </c>
      <c r="AD127">
        <v>1</v>
      </c>
      <c r="AE127" t="s">
        <v>46</v>
      </c>
      <c r="AI127">
        <v>6</v>
      </c>
      <c r="AJ127">
        <v>31</v>
      </c>
    </row>
    <row r="128" spans="1:36" x14ac:dyDescent="0.4">
      <c r="A128" t="s">
        <v>545</v>
      </c>
      <c r="B128">
        <v>126</v>
      </c>
      <c r="C128" t="s">
        <v>48</v>
      </c>
      <c r="D128">
        <v>1</v>
      </c>
      <c r="F128">
        <v>1</v>
      </c>
      <c r="G128" t="s">
        <v>49</v>
      </c>
      <c r="K128" t="s">
        <v>45</v>
      </c>
      <c r="L128">
        <v>3</v>
      </c>
      <c r="N128">
        <v>1</v>
      </c>
      <c r="O128" t="s">
        <v>47</v>
      </c>
      <c r="S128" t="s">
        <v>56</v>
      </c>
      <c r="T128">
        <v>2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135</v>
      </c>
      <c r="AI128">
        <v>4</v>
      </c>
      <c r="AJ128">
        <v>22</v>
      </c>
    </row>
    <row r="129" spans="1:36" x14ac:dyDescent="0.4">
      <c r="A129" t="s">
        <v>546</v>
      </c>
      <c r="B129">
        <v>127</v>
      </c>
      <c r="C129" t="s">
        <v>56</v>
      </c>
      <c r="D129">
        <v>1</v>
      </c>
      <c r="F129">
        <v>1</v>
      </c>
      <c r="G129" t="s">
        <v>57</v>
      </c>
      <c r="H129" t="s">
        <v>122</v>
      </c>
      <c r="K129" t="s">
        <v>43</v>
      </c>
      <c r="L129">
        <v>1</v>
      </c>
      <c r="N129">
        <v>1</v>
      </c>
      <c r="O129" t="s">
        <v>135</v>
      </c>
      <c r="P129" t="s">
        <v>99</v>
      </c>
      <c r="S129" t="s">
        <v>48</v>
      </c>
      <c r="T129">
        <v>1</v>
      </c>
      <c r="V129">
        <v>1</v>
      </c>
      <c r="W129" t="s">
        <v>89</v>
      </c>
      <c r="X129" t="s">
        <v>50</v>
      </c>
      <c r="AA129" t="s">
        <v>63</v>
      </c>
      <c r="AB129">
        <v>1</v>
      </c>
      <c r="AD129">
        <v>1</v>
      </c>
      <c r="AE129" t="s">
        <v>72</v>
      </c>
      <c r="AI129">
        <v>3</v>
      </c>
      <c r="AJ129">
        <v>24</v>
      </c>
    </row>
    <row r="130" spans="1:36" x14ac:dyDescent="0.4">
      <c r="A130" t="s">
        <v>547</v>
      </c>
      <c r="B130">
        <v>128</v>
      </c>
      <c r="C130" t="s">
        <v>56</v>
      </c>
      <c r="D130">
        <v>1</v>
      </c>
      <c r="F130">
        <v>1</v>
      </c>
      <c r="G130" t="s">
        <v>68</v>
      </c>
      <c r="K130" t="s">
        <v>43</v>
      </c>
      <c r="L130">
        <v>1</v>
      </c>
      <c r="N130">
        <v>1</v>
      </c>
      <c r="O130" t="s">
        <v>135</v>
      </c>
      <c r="P130" t="s">
        <v>99</v>
      </c>
      <c r="S130" t="s">
        <v>48</v>
      </c>
      <c r="T130">
        <v>2</v>
      </c>
      <c r="V130">
        <v>1</v>
      </c>
      <c r="W130" t="s">
        <v>89</v>
      </c>
      <c r="AA130" t="s">
        <v>38</v>
      </c>
      <c r="AB130">
        <v>2</v>
      </c>
      <c r="AC130">
        <v>2</v>
      </c>
      <c r="AD130">
        <v>1</v>
      </c>
      <c r="AE130" t="s">
        <v>67</v>
      </c>
      <c r="AI130">
        <v>4</v>
      </c>
      <c r="AJ130">
        <v>24</v>
      </c>
    </row>
    <row r="131" spans="1:36" x14ac:dyDescent="0.4">
      <c r="A131" t="s">
        <v>548</v>
      </c>
      <c r="B131">
        <v>129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2</v>
      </c>
      <c r="N131">
        <v>1</v>
      </c>
      <c r="O131" t="s">
        <v>135</v>
      </c>
      <c r="S131" t="s">
        <v>33</v>
      </c>
      <c r="T131">
        <v>2</v>
      </c>
      <c r="V131">
        <v>1</v>
      </c>
      <c r="W131" t="s">
        <v>46</v>
      </c>
      <c r="AA131" t="s">
        <v>45</v>
      </c>
      <c r="AB131">
        <v>1</v>
      </c>
      <c r="AD131">
        <v>1</v>
      </c>
      <c r="AE131" t="s">
        <v>47</v>
      </c>
      <c r="AI131">
        <v>2</v>
      </c>
      <c r="AJ131">
        <v>19</v>
      </c>
    </row>
    <row r="132" spans="1:36" x14ac:dyDescent="0.4">
      <c r="A132" t="s">
        <v>549</v>
      </c>
      <c r="B132">
        <v>130</v>
      </c>
      <c r="C132" t="s">
        <v>56</v>
      </c>
      <c r="D132">
        <v>1</v>
      </c>
      <c r="F132">
        <v>1</v>
      </c>
      <c r="G132" t="s">
        <v>68</v>
      </c>
      <c r="H132" t="s">
        <v>122</v>
      </c>
      <c r="K132" t="s">
        <v>43</v>
      </c>
      <c r="L132">
        <v>1</v>
      </c>
      <c r="N132">
        <v>1</v>
      </c>
      <c r="O132" t="s">
        <v>135</v>
      </c>
      <c r="P132" t="s">
        <v>99</v>
      </c>
      <c r="Q132" t="s">
        <v>137</v>
      </c>
      <c r="S132" t="s">
        <v>33</v>
      </c>
      <c r="T132">
        <v>2</v>
      </c>
      <c r="V132">
        <v>2</v>
      </c>
      <c r="W132" t="s">
        <v>46</v>
      </c>
      <c r="AA132" t="s">
        <v>63</v>
      </c>
      <c r="AB132">
        <v>1</v>
      </c>
      <c r="AD132">
        <v>1</v>
      </c>
      <c r="AE132" t="s">
        <v>72</v>
      </c>
      <c r="AF132" t="s">
        <v>146</v>
      </c>
      <c r="AI132">
        <v>6</v>
      </c>
      <c r="AJ132">
        <v>57</v>
      </c>
    </row>
    <row r="133" spans="1:36" x14ac:dyDescent="0.4">
      <c r="A133" t="s">
        <v>550</v>
      </c>
      <c r="B133">
        <v>131</v>
      </c>
      <c r="C133" t="s">
        <v>56</v>
      </c>
      <c r="D133">
        <v>1</v>
      </c>
      <c r="F133">
        <v>1</v>
      </c>
      <c r="G133" t="s">
        <v>68</v>
      </c>
      <c r="H133" t="s">
        <v>69</v>
      </c>
      <c r="K133" t="s">
        <v>43</v>
      </c>
      <c r="L133">
        <v>3</v>
      </c>
      <c r="N133">
        <v>2</v>
      </c>
      <c r="O133" t="s">
        <v>135</v>
      </c>
      <c r="S133" t="s">
        <v>33</v>
      </c>
      <c r="T133">
        <v>2</v>
      </c>
      <c r="V133">
        <v>1</v>
      </c>
      <c r="W133" t="s">
        <v>46</v>
      </c>
      <c r="AA133" t="s">
        <v>38</v>
      </c>
      <c r="AB133">
        <v>1</v>
      </c>
      <c r="AC133">
        <v>2</v>
      </c>
      <c r="AD133">
        <v>1</v>
      </c>
      <c r="AE133" t="s">
        <v>67</v>
      </c>
      <c r="AI133">
        <v>6</v>
      </c>
      <c r="AJ133">
        <v>27</v>
      </c>
    </row>
    <row r="134" spans="1:36" x14ac:dyDescent="0.4">
      <c r="A134" t="s">
        <v>551</v>
      </c>
      <c r="B134">
        <v>132</v>
      </c>
      <c r="C134" t="s">
        <v>56</v>
      </c>
      <c r="D134">
        <v>2</v>
      </c>
      <c r="F134">
        <v>3</v>
      </c>
      <c r="G134" t="s">
        <v>57</v>
      </c>
      <c r="H134" t="s">
        <v>122</v>
      </c>
      <c r="I134" t="s">
        <v>85</v>
      </c>
      <c r="K134" t="s">
        <v>43</v>
      </c>
      <c r="L134">
        <v>2</v>
      </c>
      <c r="N134">
        <v>1</v>
      </c>
      <c r="O134" t="s">
        <v>135</v>
      </c>
      <c r="S134" t="s">
        <v>45</v>
      </c>
      <c r="T134">
        <v>3</v>
      </c>
      <c r="V134">
        <v>1</v>
      </c>
      <c r="W134" t="s">
        <v>47</v>
      </c>
      <c r="AA134" t="s">
        <v>63</v>
      </c>
      <c r="AB134">
        <v>2</v>
      </c>
      <c r="AD134">
        <v>2</v>
      </c>
      <c r="AE134" t="s">
        <v>103</v>
      </c>
      <c r="AI134">
        <v>10</v>
      </c>
      <c r="AJ134">
        <v>35</v>
      </c>
    </row>
    <row r="135" spans="1:36" x14ac:dyDescent="0.4">
      <c r="A135" t="s">
        <v>552</v>
      </c>
      <c r="B135">
        <v>133</v>
      </c>
      <c r="C135" t="s">
        <v>45</v>
      </c>
      <c r="D135">
        <v>2</v>
      </c>
      <c r="F135">
        <v>1</v>
      </c>
      <c r="G135" t="s">
        <v>47</v>
      </c>
      <c r="H135" t="s">
        <v>76</v>
      </c>
      <c r="I135" t="s">
        <v>142</v>
      </c>
      <c r="K135" t="s">
        <v>38</v>
      </c>
      <c r="L135">
        <v>1</v>
      </c>
      <c r="M135">
        <v>1</v>
      </c>
      <c r="N135">
        <v>1</v>
      </c>
      <c r="O135" t="s">
        <v>67</v>
      </c>
      <c r="P135" t="s">
        <v>70</v>
      </c>
      <c r="S135" t="s">
        <v>56</v>
      </c>
      <c r="T135">
        <v>1</v>
      </c>
      <c r="V135">
        <v>1</v>
      </c>
      <c r="W135" t="s">
        <v>68</v>
      </c>
      <c r="AA135" t="s">
        <v>43</v>
      </c>
      <c r="AB135">
        <v>2</v>
      </c>
      <c r="AD135">
        <v>1</v>
      </c>
      <c r="AE135" t="s">
        <v>135</v>
      </c>
      <c r="AI135">
        <v>5</v>
      </c>
      <c r="AJ135">
        <v>48</v>
      </c>
    </row>
    <row r="136" spans="1:36" x14ac:dyDescent="0.4">
      <c r="A136" t="s">
        <v>553</v>
      </c>
      <c r="B136">
        <v>134</v>
      </c>
      <c r="C136" t="s">
        <v>56</v>
      </c>
      <c r="D136">
        <v>1</v>
      </c>
      <c r="F136">
        <v>1</v>
      </c>
      <c r="G136" t="s">
        <v>68</v>
      </c>
      <c r="H136" t="s">
        <v>122</v>
      </c>
      <c r="K136" t="s">
        <v>43</v>
      </c>
      <c r="L136">
        <v>1</v>
      </c>
      <c r="N136">
        <v>2</v>
      </c>
      <c r="O136" t="s">
        <v>135</v>
      </c>
      <c r="P136" t="s">
        <v>99</v>
      </c>
      <c r="Q136" t="s">
        <v>100</v>
      </c>
      <c r="S136" t="s">
        <v>63</v>
      </c>
      <c r="T136">
        <v>1</v>
      </c>
      <c r="V136">
        <v>1</v>
      </c>
      <c r="W136" t="s">
        <v>72</v>
      </c>
      <c r="X136" t="s">
        <v>146</v>
      </c>
      <c r="AA136" t="s">
        <v>38</v>
      </c>
      <c r="AB136">
        <v>1</v>
      </c>
      <c r="AC136">
        <v>1</v>
      </c>
      <c r="AD136">
        <v>2</v>
      </c>
      <c r="AE136" t="s">
        <v>67</v>
      </c>
      <c r="AI136">
        <v>6</v>
      </c>
      <c r="AJ136">
        <v>44</v>
      </c>
    </row>
    <row r="137" spans="1:36" x14ac:dyDescent="0.4">
      <c r="A137" t="s">
        <v>554</v>
      </c>
      <c r="B137">
        <v>135</v>
      </c>
      <c r="C137" t="s">
        <v>56</v>
      </c>
      <c r="D137">
        <v>1</v>
      </c>
      <c r="F137">
        <v>1</v>
      </c>
      <c r="G137" t="s">
        <v>68</v>
      </c>
      <c r="H137" t="s">
        <v>69</v>
      </c>
      <c r="K137" t="s">
        <v>45</v>
      </c>
      <c r="L137">
        <v>2</v>
      </c>
      <c r="N137">
        <v>1</v>
      </c>
      <c r="O137" t="s">
        <v>47</v>
      </c>
      <c r="S137" t="s">
        <v>48</v>
      </c>
      <c r="T137">
        <v>1</v>
      </c>
      <c r="V137">
        <v>1</v>
      </c>
      <c r="W137" t="s">
        <v>89</v>
      </c>
      <c r="AA137" t="s">
        <v>33</v>
      </c>
      <c r="AB137">
        <v>2</v>
      </c>
      <c r="AD137">
        <v>1</v>
      </c>
      <c r="AE137" t="s">
        <v>46</v>
      </c>
      <c r="AI137">
        <v>3</v>
      </c>
      <c r="AJ137">
        <v>20</v>
      </c>
    </row>
    <row r="138" spans="1:36" x14ac:dyDescent="0.4">
      <c r="A138" t="s">
        <v>555</v>
      </c>
      <c r="B138">
        <v>136</v>
      </c>
      <c r="C138" t="s">
        <v>56</v>
      </c>
      <c r="D138">
        <v>1</v>
      </c>
      <c r="F138">
        <v>1</v>
      </c>
      <c r="G138" t="s">
        <v>68</v>
      </c>
      <c r="K138" t="s">
        <v>45</v>
      </c>
      <c r="L138">
        <v>2</v>
      </c>
      <c r="N138">
        <v>2</v>
      </c>
      <c r="O138" t="s">
        <v>47</v>
      </c>
      <c r="S138" t="s">
        <v>48</v>
      </c>
      <c r="T138">
        <v>1</v>
      </c>
      <c r="V138">
        <v>1</v>
      </c>
      <c r="W138" t="s">
        <v>49</v>
      </c>
      <c r="X138" t="s">
        <v>50</v>
      </c>
      <c r="AA138" t="s">
        <v>43</v>
      </c>
      <c r="AB138">
        <v>1</v>
      </c>
      <c r="AD138">
        <v>1</v>
      </c>
      <c r="AE138" t="s">
        <v>135</v>
      </c>
      <c r="AF138" t="s">
        <v>99</v>
      </c>
      <c r="AI138">
        <v>4</v>
      </c>
      <c r="AJ138">
        <v>26</v>
      </c>
    </row>
    <row r="139" spans="1:36" x14ac:dyDescent="0.4">
      <c r="A139" t="s">
        <v>556</v>
      </c>
      <c r="B139">
        <v>137</v>
      </c>
      <c r="C139" t="s">
        <v>56</v>
      </c>
      <c r="D139">
        <v>1</v>
      </c>
      <c r="F139">
        <v>1</v>
      </c>
      <c r="G139" t="s">
        <v>57</v>
      </c>
      <c r="H139" t="s">
        <v>122</v>
      </c>
      <c r="I139" t="s">
        <v>123</v>
      </c>
      <c r="K139" t="s">
        <v>45</v>
      </c>
      <c r="L139">
        <v>3</v>
      </c>
      <c r="N139">
        <v>1</v>
      </c>
      <c r="O139" t="s">
        <v>47</v>
      </c>
      <c r="S139" t="s">
        <v>48</v>
      </c>
      <c r="T139">
        <v>1</v>
      </c>
      <c r="V139">
        <v>1</v>
      </c>
      <c r="W139" t="s">
        <v>49</v>
      </c>
      <c r="X139" t="s">
        <v>50</v>
      </c>
      <c r="AA139" t="s">
        <v>63</v>
      </c>
      <c r="AB139">
        <v>1</v>
      </c>
      <c r="AD139">
        <v>1</v>
      </c>
      <c r="AE139" t="s">
        <v>72</v>
      </c>
      <c r="AI139">
        <v>5</v>
      </c>
      <c r="AJ139">
        <v>25</v>
      </c>
    </row>
    <row r="140" spans="1:36" x14ac:dyDescent="0.4">
      <c r="A140" t="s">
        <v>557</v>
      </c>
      <c r="B140">
        <v>138</v>
      </c>
      <c r="C140" t="s">
        <v>56</v>
      </c>
      <c r="D140">
        <v>1</v>
      </c>
      <c r="F140">
        <v>1</v>
      </c>
      <c r="G140" t="s">
        <v>57</v>
      </c>
      <c r="H140" t="s">
        <v>122</v>
      </c>
      <c r="K140" t="s">
        <v>45</v>
      </c>
      <c r="L140">
        <v>2</v>
      </c>
      <c r="N140">
        <v>1</v>
      </c>
      <c r="O140" t="s">
        <v>47</v>
      </c>
      <c r="S140" t="s">
        <v>48</v>
      </c>
      <c r="T140">
        <v>1</v>
      </c>
      <c r="V140">
        <v>1</v>
      </c>
      <c r="W140" t="s">
        <v>89</v>
      </c>
      <c r="AA140" t="s">
        <v>38</v>
      </c>
      <c r="AB140">
        <v>3</v>
      </c>
      <c r="AC140">
        <v>1</v>
      </c>
      <c r="AD140">
        <v>1</v>
      </c>
      <c r="AE140" t="s">
        <v>67</v>
      </c>
      <c r="AI140">
        <v>4</v>
      </c>
      <c r="AJ140">
        <v>22</v>
      </c>
    </row>
    <row r="141" spans="1:36" x14ac:dyDescent="0.4">
      <c r="A141" t="s">
        <v>558</v>
      </c>
      <c r="B141">
        <v>139</v>
      </c>
      <c r="C141" t="s">
        <v>56</v>
      </c>
      <c r="D141">
        <v>1</v>
      </c>
      <c r="F141">
        <v>1</v>
      </c>
      <c r="G141" t="s">
        <v>68</v>
      </c>
      <c r="K141" t="s">
        <v>45</v>
      </c>
      <c r="L141">
        <v>2</v>
      </c>
      <c r="N141">
        <v>1</v>
      </c>
      <c r="O141" t="s">
        <v>47</v>
      </c>
      <c r="S141" t="s">
        <v>33</v>
      </c>
      <c r="T141">
        <v>1</v>
      </c>
      <c r="V141">
        <v>1</v>
      </c>
      <c r="W141" t="s">
        <v>46</v>
      </c>
      <c r="AA141" t="s">
        <v>43</v>
      </c>
      <c r="AB141">
        <v>2</v>
      </c>
      <c r="AD141">
        <v>1</v>
      </c>
      <c r="AE141" t="s">
        <v>135</v>
      </c>
      <c r="AF141" t="s">
        <v>136</v>
      </c>
      <c r="AG141" t="s">
        <v>75</v>
      </c>
      <c r="AI141">
        <v>4</v>
      </c>
      <c r="AJ141">
        <v>24</v>
      </c>
    </row>
    <row r="142" spans="1:36" x14ac:dyDescent="0.4">
      <c r="A142" t="s">
        <v>559</v>
      </c>
      <c r="B142">
        <v>140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3</v>
      </c>
      <c r="N142">
        <v>1</v>
      </c>
      <c r="O142" t="s">
        <v>47</v>
      </c>
      <c r="S142" t="s">
        <v>33</v>
      </c>
      <c r="T142">
        <v>2</v>
      </c>
      <c r="V142">
        <v>1</v>
      </c>
      <c r="W142" t="s">
        <v>46</v>
      </c>
      <c r="X142" t="s">
        <v>130</v>
      </c>
      <c r="AA142" t="s">
        <v>63</v>
      </c>
      <c r="AB142">
        <v>1</v>
      </c>
      <c r="AD142">
        <v>1</v>
      </c>
      <c r="AE142" t="s">
        <v>72</v>
      </c>
      <c r="AF142" t="s">
        <v>146</v>
      </c>
      <c r="AG142" t="s">
        <v>147</v>
      </c>
      <c r="AI142">
        <v>6</v>
      </c>
      <c r="AJ142">
        <v>40</v>
      </c>
    </row>
    <row r="143" spans="1:36" x14ac:dyDescent="0.4">
      <c r="A143" t="s">
        <v>560</v>
      </c>
      <c r="B143">
        <v>141</v>
      </c>
      <c r="C143" t="s">
        <v>33</v>
      </c>
      <c r="D143">
        <v>1</v>
      </c>
      <c r="F143">
        <v>3</v>
      </c>
      <c r="G143" t="s">
        <v>46</v>
      </c>
      <c r="H143" t="s">
        <v>35</v>
      </c>
      <c r="K143" t="s">
        <v>38</v>
      </c>
      <c r="L143">
        <v>2</v>
      </c>
      <c r="M143">
        <v>1</v>
      </c>
      <c r="N143">
        <v>3</v>
      </c>
      <c r="O143" t="s">
        <v>67</v>
      </c>
      <c r="S143" t="s">
        <v>56</v>
      </c>
      <c r="T143">
        <v>1</v>
      </c>
      <c r="V143">
        <v>1</v>
      </c>
      <c r="W143" t="s">
        <v>68</v>
      </c>
      <c r="AA143" t="s">
        <v>45</v>
      </c>
      <c r="AB143">
        <v>2</v>
      </c>
      <c r="AD143">
        <v>1</v>
      </c>
      <c r="AE143" t="s">
        <v>47</v>
      </c>
      <c r="AI143">
        <v>7</v>
      </c>
      <c r="AJ143">
        <v>29</v>
      </c>
    </row>
    <row r="144" spans="1:36" x14ac:dyDescent="0.4">
      <c r="A144" t="s">
        <v>561</v>
      </c>
      <c r="B144">
        <v>142</v>
      </c>
      <c r="C144" t="s">
        <v>56</v>
      </c>
      <c r="D144">
        <v>2</v>
      </c>
      <c r="F144">
        <v>1</v>
      </c>
      <c r="G144" t="s">
        <v>120</v>
      </c>
      <c r="H144" t="s">
        <v>122</v>
      </c>
      <c r="K144" t="s">
        <v>45</v>
      </c>
      <c r="L144">
        <v>2</v>
      </c>
      <c r="N144">
        <v>1</v>
      </c>
      <c r="O144" t="s">
        <v>86</v>
      </c>
      <c r="S144" t="s">
        <v>43</v>
      </c>
      <c r="T144">
        <v>1</v>
      </c>
      <c r="V144">
        <v>1</v>
      </c>
      <c r="W144" t="s">
        <v>135</v>
      </c>
      <c r="X144" t="s">
        <v>99</v>
      </c>
      <c r="AA144" t="s">
        <v>63</v>
      </c>
      <c r="AB144">
        <v>1</v>
      </c>
      <c r="AD144">
        <v>1</v>
      </c>
      <c r="AE144" t="s">
        <v>72</v>
      </c>
      <c r="AF144" t="s">
        <v>146</v>
      </c>
      <c r="AI144">
        <v>5</v>
      </c>
      <c r="AJ144">
        <v>19</v>
      </c>
    </row>
    <row r="145" spans="1:36" x14ac:dyDescent="0.4">
      <c r="A145" t="s">
        <v>562</v>
      </c>
      <c r="B145">
        <v>143</v>
      </c>
      <c r="C145" t="s">
        <v>43</v>
      </c>
      <c r="D145">
        <v>2</v>
      </c>
      <c r="F145">
        <v>1</v>
      </c>
      <c r="G145" t="s">
        <v>135</v>
      </c>
      <c r="H145" t="s">
        <v>99</v>
      </c>
      <c r="K145" t="s">
        <v>38</v>
      </c>
      <c r="L145">
        <v>1</v>
      </c>
      <c r="M145">
        <v>3</v>
      </c>
      <c r="N145">
        <v>1</v>
      </c>
      <c r="O145" t="s">
        <v>67</v>
      </c>
      <c r="P145" t="s">
        <v>96</v>
      </c>
      <c r="Q145" t="s">
        <v>154</v>
      </c>
      <c r="R145" t="s">
        <v>156</v>
      </c>
      <c r="S145" t="s">
        <v>56</v>
      </c>
      <c r="T145">
        <v>1</v>
      </c>
      <c r="V145">
        <v>2</v>
      </c>
      <c r="W145" t="s">
        <v>120</v>
      </c>
      <c r="AA145" t="s">
        <v>45</v>
      </c>
      <c r="AB145">
        <v>2</v>
      </c>
      <c r="AD145">
        <v>1</v>
      </c>
      <c r="AE145" t="s">
        <v>47</v>
      </c>
      <c r="AI145">
        <v>9</v>
      </c>
      <c r="AJ145">
        <v>28</v>
      </c>
    </row>
    <row r="146" spans="1:36" x14ac:dyDescent="0.4">
      <c r="A146" t="s">
        <v>563</v>
      </c>
      <c r="B146">
        <v>144</v>
      </c>
      <c r="C146" t="s">
        <v>56</v>
      </c>
      <c r="D146">
        <v>3</v>
      </c>
      <c r="F146">
        <v>3</v>
      </c>
      <c r="G146" t="s">
        <v>57</v>
      </c>
      <c r="H146" t="s">
        <v>122</v>
      </c>
      <c r="I146" t="s">
        <v>85</v>
      </c>
      <c r="J146" t="s">
        <v>125</v>
      </c>
      <c r="K146" t="s">
        <v>45</v>
      </c>
      <c r="L146">
        <v>3</v>
      </c>
      <c r="N146">
        <v>1</v>
      </c>
      <c r="O146" t="s">
        <v>47</v>
      </c>
      <c r="S146" t="s">
        <v>63</v>
      </c>
      <c r="T146">
        <v>3</v>
      </c>
      <c r="V146">
        <v>1</v>
      </c>
      <c r="W146" t="s">
        <v>72</v>
      </c>
      <c r="X146" t="s">
        <v>146</v>
      </c>
      <c r="AA146" t="s">
        <v>38</v>
      </c>
      <c r="AB146">
        <v>3</v>
      </c>
      <c r="AC146">
        <v>1</v>
      </c>
      <c r="AD146">
        <v>1</v>
      </c>
      <c r="AE146" t="s">
        <v>152</v>
      </c>
      <c r="AI146">
        <v>14</v>
      </c>
      <c r="AJ146">
        <v>37</v>
      </c>
    </row>
    <row r="147" spans="1:36" x14ac:dyDescent="0.4">
      <c r="A147" t="s">
        <v>564</v>
      </c>
      <c r="B147">
        <v>145</v>
      </c>
      <c r="C147" t="s">
        <v>48</v>
      </c>
      <c r="D147">
        <v>1</v>
      </c>
      <c r="F147">
        <v>1</v>
      </c>
      <c r="G147" t="s">
        <v>49</v>
      </c>
      <c r="H147" t="s">
        <v>71</v>
      </c>
      <c r="K147" t="s">
        <v>33</v>
      </c>
      <c r="L147">
        <v>3</v>
      </c>
      <c r="N147">
        <v>1</v>
      </c>
      <c r="O147" t="s">
        <v>46</v>
      </c>
      <c r="S147" t="s">
        <v>56</v>
      </c>
      <c r="T147">
        <v>1</v>
      </c>
      <c r="V147">
        <v>1</v>
      </c>
      <c r="W147" t="s">
        <v>57</v>
      </c>
      <c r="AA147" t="s">
        <v>63</v>
      </c>
      <c r="AB147">
        <v>1</v>
      </c>
      <c r="AD147">
        <v>1</v>
      </c>
      <c r="AE147" t="s">
        <v>72</v>
      </c>
      <c r="AI147">
        <v>3</v>
      </c>
      <c r="AJ147">
        <v>21</v>
      </c>
    </row>
    <row r="148" spans="1:36" x14ac:dyDescent="0.4">
      <c r="A148" t="s">
        <v>565</v>
      </c>
      <c r="B148">
        <v>146</v>
      </c>
      <c r="C148" t="s">
        <v>48</v>
      </c>
      <c r="D148">
        <v>3</v>
      </c>
      <c r="F148">
        <v>1</v>
      </c>
      <c r="G148" t="s">
        <v>49</v>
      </c>
      <c r="H148" t="s">
        <v>50</v>
      </c>
      <c r="I148" t="s">
        <v>127</v>
      </c>
      <c r="K148" t="s">
        <v>43</v>
      </c>
      <c r="L148">
        <v>1</v>
      </c>
      <c r="N148">
        <v>1</v>
      </c>
      <c r="O148" t="s">
        <v>135</v>
      </c>
      <c r="P148" t="s">
        <v>99</v>
      </c>
      <c r="S148" t="s">
        <v>56</v>
      </c>
      <c r="T148">
        <v>2</v>
      </c>
      <c r="V148">
        <v>1</v>
      </c>
      <c r="W148" t="s">
        <v>120</v>
      </c>
      <c r="X148" t="s">
        <v>69</v>
      </c>
      <c r="Y148" t="s">
        <v>87</v>
      </c>
      <c r="AA148" t="s">
        <v>63</v>
      </c>
      <c r="AB148">
        <v>1</v>
      </c>
      <c r="AD148">
        <v>1</v>
      </c>
      <c r="AE148" t="s">
        <v>72</v>
      </c>
      <c r="AI148">
        <v>8</v>
      </c>
      <c r="AJ148">
        <v>30</v>
      </c>
    </row>
    <row r="149" spans="1:36" x14ac:dyDescent="0.4">
      <c r="A149" t="s">
        <v>566</v>
      </c>
      <c r="B149">
        <v>147</v>
      </c>
      <c r="C149" t="s">
        <v>48</v>
      </c>
      <c r="D149">
        <v>2</v>
      </c>
      <c r="F149">
        <v>1</v>
      </c>
      <c r="G149" t="s">
        <v>49</v>
      </c>
      <c r="H149" t="s">
        <v>71</v>
      </c>
      <c r="K149" t="s">
        <v>45</v>
      </c>
      <c r="L149">
        <v>2</v>
      </c>
      <c r="N149">
        <v>1</v>
      </c>
      <c r="O149" t="s">
        <v>47</v>
      </c>
      <c r="P149" t="s">
        <v>92</v>
      </c>
      <c r="S149" t="s">
        <v>56</v>
      </c>
      <c r="T149">
        <v>1</v>
      </c>
      <c r="V149">
        <v>1</v>
      </c>
      <c r="W149" t="s">
        <v>57</v>
      </c>
      <c r="AA149" t="s">
        <v>63</v>
      </c>
      <c r="AB149">
        <v>1</v>
      </c>
      <c r="AD149">
        <v>1</v>
      </c>
      <c r="AE149" t="s">
        <v>72</v>
      </c>
      <c r="AI149">
        <v>4</v>
      </c>
      <c r="AJ149">
        <v>25</v>
      </c>
    </row>
    <row r="150" spans="1:36" x14ac:dyDescent="0.4">
      <c r="A150" t="s">
        <v>567</v>
      </c>
      <c r="B150">
        <v>148</v>
      </c>
      <c r="C150" t="s">
        <v>56</v>
      </c>
      <c r="D150">
        <v>1</v>
      </c>
      <c r="F150">
        <v>1</v>
      </c>
      <c r="G150" t="s">
        <v>57</v>
      </c>
      <c r="H150" t="s">
        <v>122</v>
      </c>
      <c r="K150" t="s">
        <v>63</v>
      </c>
      <c r="L150">
        <v>1</v>
      </c>
      <c r="N150">
        <v>1</v>
      </c>
      <c r="O150" t="s">
        <v>72</v>
      </c>
      <c r="S150" t="s">
        <v>48</v>
      </c>
      <c r="T150">
        <v>1</v>
      </c>
      <c r="V150">
        <v>1</v>
      </c>
      <c r="W150" t="s">
        <v>49</v>
      </c>
      <c r="AA150" t="s">
        <v>38</v>
      </c>
      <c r="AB150">
        <v>1</v>
      </c>
      <c r="AC150">
        <v>1</v>
      </c>
      <c r="AD150">
        <v>1</v>
      </c>
      <c r="AE150" t="s">
        <v>152</v>
      </c>
      <c r="AI150">
        <v>1</v>
      </c>
      <c r="AJ150">
        <v>24</v>
      </c>
    </row>
    <row r="151" spans="1:36" x14ac:dyDescent="0.4">
      <c r="A151" t="s">
        <v>568</v>
      </c>
      <c r="B151">
        <v>149</v>
      </c>
      <c r="C151" t="s">
        <v>33</v>
      </c>
      <c r="D151">
        <v>2</v>
      </c>
      <c r="F151">
        <v>1</v>
      </c>
      <c r="G151" t="s">
        <v>46</v>
      </c>
      <c r="H151" t="s">
        <v>35</v>
      </c>
      <c r="K151" t="s">
        <v>43</v>
      </c>
      <c r="L151">
        <v>1</v>
      </c>
      <c r="N151">
        <v>1</v>
      </c>
      <c r="O151" t="s">
        <v>135</v>
      </c>
      <c r="P151" t="s">
        <v>74</v>
      </c>
      <c r="S151" t="s">
        <v>56</v>
      </c>
      <c r="T151">
        <v>1</v>
      </c>
      <c r="V151">
        <v>1</v>
      </c>
      <c r="W151" t="s">
        <v>120</v>
      </c>
      <c r="AA151" t="s">
        <v>63</v>
      </c>
      <c r="AB151">
        <v>1</v>
      </c>
      <c r="AD151">
        <v>1</v>
      </c>
      <c r="AE151" t="s">
        <v>72</v>
      </c>
      <c r="AI151">
        <v>3</v>
      </c>
      <c r="AJ151">
        <v>30</v>
      </c>
    </row>
    <row r="152" spans="1:36" x14ac:dyDescent="0.4">
      <c r="A152" t="s">
        <v>569</v>
      </c>
      <c r="B152">
        <v>150</v>
      </c>
      <c r="C152" t="s">
        <v>33</v>
      </c>
      <c r="D152">
        <v>2</v>
      </c>
      <c r="F152">
        <v>1</v>
      </c>
      <c r="G152" t="s">
        <v>46</v>
      </c>
      <c r="H152" t="s">
        <v>66</v>
      </c>
      <c r="K152" t="s">
        <v>45</v>
      </c>
      <c r="L152">
        <v>3</v>
      </c>
      <c r="N152">
        <v>1</v>
      </c>
      <c r="O152" t="s">
        <v>47</v>
      </c>
      <c r="S152" t="s">
        <v>56</v>
      </c>
      <c r="T152">
        <v>1</v>
      </c>
      <c r="V152">
        <v>2</v>
      </c>
      <c r="W152" t="s">
        <v>68</v>
      </c>
      <c r="AA152" t="s">
        <v>63</v>
      </c>
      <c r="AB152">
        <v>2</v>
      </c>
      <c r="AD152">
        <v>1</v>
      </c>
      <c r="AE152" t="s">
        <v>72</v>
      </c>
      <c r="AF152" t="s">
        <v>95</v>
      </c>
      <c r="AI152">
        <v>7</v>
      </c>
      <c r="AJ152">
        <v>41</v>
      </c>
    </row>
    <row r="153" spans="1:36" x14ac:dyDescent="0.4">
      <c r="A153" t="s">
        <v>570</v>
      </c>
      <c r="B153">
        <v>151</v>
      </c>
      <c r="C153" t="s">
        <v>33</v>
      </c>
      <c r="D153">
        <v>2</v>
      </c>
      <c r="F153">
        <v>1</v>
      </c>
      <c r="G153" t="s">
        <v>46</v>
      </c>
      <c r="H153" t="s">
        <v>35</v>
      </c>
      <c r="I153" t="s">
        <v>36</v>
      </c>
      <c r="K153" t="s">
        <v>38</v>
      </c>
      <c r="L153">
        <v>1</v>
      </c>
      <c r="M153">
        <v>1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2</v>
      </c>
      <c r="AD153">
        <v>1</v>
      </c>
      <c r="AE153" t="s">
        <v>72</v>
      </c>
      <c r="AI153">
        <v>5</v>
      </c>
      <c r="AJ153">
        <v>22</v>
      </c>
    </row>
    <row r="154" spans="1:36" x14ac:dyDescent="0.4">
      <c r="A154" t="s">
        <v>571</v>
      </c>
      <c r="B154">
        <v>152</v>
      </c>
      <c r="C154" t="s">
        <v>56</v>
      </c>
      <c r="D154">
        <v>2</v>
      </c>
      <c r="F154">
        <v>2</v>
      </c>
      <c r="G154" t="s">
        <v>68</v>
      </c>
      <c r="K154" t="s">
        <v>63</v>
      </c>
      <c r="L154">
        <v>2</v>
      </c>
      <c r="N154">
        <v>1</v>
      </c>
      <c r="O154" t="s">
        <v>72</v>
      </c>
      <c r="S154" t="s">
        <v>43</v>
      </c>
      <c r="T154">
        <v>1</v>
      </c>
      <c r="V154">
        <v>2</v>
      </c>
      <c r="W154" t="s">
        <v>135</v>
      </c>
      <c r="X154" t="s">
        <v>99</v>
      </c>
      <c r="AA154" t="s">
        <v>45</v>
      </c>
      <c r="AB154">
        <v>2</v>
      </c>
      <c r="AD154">
        <v>3</v>
      </c>
      <c r="AE154" t="s">
        <v>47</v>
      </c>
      <c r="AI154">
        <v>8</v>
      </c>
      <c r="AJ154">
        <v>26</v>
      </c>
    </row>
    <row r="155" spans="1:36" x14ac:dyDescent="0.4">
      <c r="A155" t="s">
        <v>572</v>
      </c>
      <c r="B155">
        <v>153</v>
      </c>
      <c r="C155" t="s">
        <v>43</v>
      </c>
      <c r="D155">
        <v>1</v>
      </c>
      <c r="F155">
        <v>1</v>
      </c>
      <c r="G155" t="s">
        <v>135</v>
      </c>
      <c r="H155" t="s">
        <v>99</v>
      </c>
      <c r="K155" t="s">
        <v>38</v>
      </c>
      <c r="L155">
        <v>3</v>
      </c>
      <c r="M155">
        <v>1</v>
      </c>
      <c r="N155">
        <v>1</v>
      </c>
      <c r="O155" t="s">
        <v>152</v>
      </c>
      <c r="S155" t="s">
        <v>56</v>
      </c>
      <c r="T155">
        <v>1</v>
      </c>
      <c r="V155">
        <v>2</v>
      </c>
      <c r="W155" t="s">
        <v>68</v>
      </c>
      <c r="AA155" t="s">
        <v>63</v>
      </c>
      <c r="AB155">
        <v>1</v>
      </c>
      <c r="AD155">
        <v>1</v>
      </c>
      <c r="AE155" t="s">
        <v>72</v>
      </c>
      <c r="AF155" t="s">
        <v>95</v>
      </c>
      <c r="AG155" t="s">
        <v>104</v>
      </c>
      <c r="AI155">
        <v>6</v>
      </c>
      <c r="AJ155">
        <v>27</v>
      </c>
    </row>
    <row r="156" spans="1:36" x14ac:dyDescent="0.4">
      <c r="A156" t="s">
        <v>573</v>
      </c>
      <c r="B156">
        <v>154</v>
      </c>
      <c r="C156" t="s">
        <v>45</v>
      </c>
      <c r="D156">
        <v>2</v>
      </c>
      <c r="F156">
        <v>2</v>
      </c>
      <c r="G156" t="s">
        <v>47</v>
      </c>
      <c r="K156" t="s">
        <v>38</v>
      </c>
      <c r="L156">
        <v>3</v>
      </c>
      <c r="M156">
        <v>1</v>
      </c>
      <c r="N156">
        <v>1</v>
      </c>
      <c r="O156" t="s">
        <v>152</v>
      </c>
      <c r="S156" t="s">
        <v>56</v>
      </c>
      <c r="T156">
        <v>1</v>
      </c>
      <c r="V156">
        <v>2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I156">
        <v>5</v>
      </c>
      <c r="AJ156">
        <v>23</v>
      </c>
    </row>
    <row r="157" spans="1:36" x14ac:dyDescent="0.4">
      <c r="A157" t="s">
        <v>574</v>
      </c>
      <c r="B157">
        <v>155</v>
      </c>
      <c r="C157" t="s">
        <v>48</v>
      </c>
      <c r="D157">
        <v>1</v>
      </c>
      <c r="F157">
        <v>1</v>
      </c>
      <c r="G157" t="s">
        <v>49</v>
      </c>
      <c r="H157" t="s">
        <v>71</v>
      </c>
      <c r="I157" t="s">
        <v>51</v>
      </c>
      <c r="K157" t="s">
        <v>33</v>
      </c>
      <c r="L157">
        <v>2</v>
      </c>
      <c r="N157">
        <v>2</v>
      </c>
      <c r="O157" t="s">
        <v>46</v>
      </c>
      <c r="S157" t="s">
        <v>56</v>
      </c>
      <c r="T157">
        <v>1</v>
      </c>
      <c r="V157">
        <v>1</v>
      </c>
      <c r="W157" t="s">
        <v>57</v>
      </c>
      <c r="AA157" t="s">
        <v>38</v>
      </c>
      <c r="AB157">
        <v>1</v>
      </c>
      <c r="AC157">
        <v>2</v>
      </c>
      <c r="AD157">
        <v>2</v>
      </c>
      <c r="AE157" t="s">
        <v>67</v>
      </c>
      <c r="AI157">
        <v>6</v>
      </c>
      <c r="AJ157">
        <v>31</v>
      </c>
    </row>
    <row r="158" spans="1:36" x14ac:dyDescent="0.4">
      <c r="A158" t="s">
        <v>575</v>
      </c>
      <c r="B158">
        <v>156</v>
      </c>
      <c r="C158" t="s">
        <v>56</v>
      </c>
      <c r="D158">
        <v>1</v>
      </c>
      <c r="F158">
        <v>1</v>
      </c>
      <c r="G158" t="s">
        <v>120</v>
      </c>
      <c r="H158" t="s">
        <v>69</v>
      </c>
      <c r="I158" t="s">
        <v>123</v>
      </c>
      <c r="K158" t="s">
        <v>38</v>
      </c>
      <c r="L158">
        <v>1</v>
      </c>
      <c r="M158">
        <v>1</v>
      </c>
      <c r="N158">
        <v>1</v>
      </c>
      <c r="O158" t="s">
        <v>67</v>
      </c>
      <c r="P158" t="s">
        <v>70</v>
      </c>
      <c r="S158" t="s">
        <v>48</v>
      </c>
      <c r="T158">
        <v>2</v>
      </c>
      <c r="V158">
        <v>1</v>
      </c>
      <c r="W158" t="s">
        <v>49</v>
      </c>
      <c r="AA158" t="s">
        <v>43</v>
      </c>
      <c r="AB158">
        <v>1</v>
      </c>
      <c r="AD158">
        <v>2</v>
      </c>
      <c r="AE158" t="s">
        <v>135</v>
      </c>
      <c r="AF158" t="s">
        <v>99</v>
      </c>
      <c r="AI158">
        <v>6</v>
      </c>
      <c r="AJ158">
        <v>28</v>
      </c>
    </row>
    <row r="159" spans="1:36" x14ac:dyDescent="0.4">
      <c r="A159" s="4" t="s">
        <v>576</v>
      </c>
      <c r="B159">
        <v>157</v>
      </c>
      <c r="C159" t="s">
        <v>48</v>
      </c>
      <c r="D159">
        <v>2</v>
      </c>
      <c r="F159">
        <v>2</v>
      </c>
      <c r="G159" t="s">
        <v>49</v>
      </c>
      <c r="H159" t="s">
        <v>84</v>
      </c>
      <c r="I159" t="s">
        <v>90</v>
      </c>
      <c r="K159" t="s">
        <v>45</v>
      </c>
      <c r="L159">
        <v>2</v>
      </c>
      <c r="N159">
        <v>1</v>
      </c>
      <c r="O159" t="s">
        <v>47</v>
      </c>
      <c r="S159" t="s">
        <v>56</v>
      </c>
      <c r="T159">
        <v>2</v>
      </c>
      <c r="V159">
        <v>1</v>
      </c>
      <c r="W159" t="s">
        <v>57</v>
      </c>
      <c r="X159" t="s">
        <v>122</v>
      </c>
      <c r="Y159" t="s">
        <v>85</v>
      </c>
      <c r="AA159" t="s">
        <v>38</v>
      </c>
      <c r="AB159">
        <v>2</v>
      </c>
      <c r="AC159">
        <v>1</v>
      </c>
      <c r="AD159">
        <v>1</v>
      </c>
      <c r="AE159" t="s">
        <v>67</v>
      </c>
      <c r="AI159">
        <v>9</v>
      </c>
      <c r="AJ159">
        <v>33</v>
      </c>
    </row>
    <row r="160" spans="1:36" x14ac:dyDescent="0.4">
      <c r="A160" t="s">
        <v>577</v>
      </c>
      <c r="B160">
        <v>158</v>
      </c>
      <c r="C160" t="s">
        <v>48</v>
      </c>
      <c r="D160">
        <v>2</v>
      </c>
      <c r="F160">
        <v>1</v>
      </c>
      <c r="G160" t="s">
        <v>49</v>
      </c>
      <c r="K160" t="s">
        <v>63</v>
      </c>
      <c r="L160">
        <v>2</v>
      </c>
      <c r="N160">
        <v>1</v>
      </c>
      <c r="O160" t="s">
        <v>103</v>
      </c>
      <c r="S160" t="s">
        <v>56</v>
      </c>
      <c r="T160">
        <v>1</v>
      </c>
      <c r="V160">
        <v>1</v>
      </c>
      <c r="W160" t="s">
        <v>57</v>
      </c>
      <c r="AA160" t="s">
        <v>38</v>
      </c>
      <c r="AB160">
        <v>1</v>
      </c>
      <c r="AC160">
        <v>1</v>
      </c>
      <c r="AD160">
        <v>1</v>
      </c>
      <c r="AE160" t="s">
        <v>152</v>
      </c>
      <c r="AI160">
        <v>2</v>
      </c>
      <c r="AJ160">
        <v>34</v>
      </c>
    </row>
    <row r="161" spans="1:36" x14ac:dyDescent="0.4">
      <c r="A161" t="s">
        <v>578</v>
      </c>
      <c r="B161">
        <v>159</v>
      </c>
      <c r="C161" t="s">
        <v>56</v>
      </c>
      <c r="D161">
        <v>1</v>
      </c>
      <c r="F161">
        <v>1</v>
      </c>
      <c r="G161" t="s">
        <v>120</v>
      </c>
      <c r="H161" t="s">
        <v>122</v>
      </c>
      <c r="K161" t="s">
        <v>38</v>
      </c>
      <c r="L161">
        <v>1</v>
      </c>
      <c r="M161">
        <v>1</v>
      </c>
      <c r="N161">
        <v>1</v>
      </c>
      <c r="O161" t="s">
        <v>67</v>
      </c>
      <c r="S161" t="s">
        <v>33</v>
      </c>
      <c r="T161">
        <v>1</v>
      </c>
      <c r="V161">
        <v>1</v>
      </c>
      <c r="W161" t="s">
        <v>46</v>
      </c>
      <c r="X161" t="s">
        <v>66</v>
      </c>
      <c r="AA161" t="s">
        <v>43</v>
      </c>
      <c r="AB161">
        <v>2</v>
      </c>
      <c r="AD161">
        <v>2</v>
      </c>
      <c r="AE161" t="s">
        <v>135</v>
      </c>
      <c r="AF161" t="s">
        <v>99</v>
      </c>
      <c r="AI161">
        <v>5</v>
      </c>
      <c r="AJ161">
        <v>24</v>
      </c>
    </row>
    <row r="162" spans="1:36" x14ac:dyDescent="0.4">
      <c r="A162" t="s">
        <v>579</v>
      </c>
      <c r="B162">
        <v>160</v>
      </c>
      <c r="C162" t="s">
        <v>56</v>
      </c>
      <c r="D162">
        <v>1</v>
      </c>
      <c r="F162">
        <v>1</v>
      </c>
      <c r="G162" t="s">
        <v>68</v>
      </c>
      <c r="K162" t="s">
        <v>38</v>
      </c>
      <c r="L162">
        <v>1</v>
      </c>
      <c r="M162">
        <v>1</v>
      </c>
      <c r="N162">
        <v>2</v>
      </c>
      <c r="O162" t="s">
        <v>67</v>
      </c>
      <c r="S162" t="s">
        <v>33</v>
      </c>
      <c r="T162">
        <v>2</v>
      </c>
      <c r="V162">
        <v>1</v>
      </c>
      <c r="W162" t="s">
        <v>46</v>
      </c>
      <c r="AA162" t="s">
        <v>45</v>
      </c>
      <c r="AB162">
        <v>2</v>
      </c>
      <c r="AD162">
        <v>1</v>
      </c>
      <c r="AE162" t="s">
        <v>47</v>
      </c>
      <c r="AI162">
        <v>3</v>
      </c>
      <c r="AJ162">
        <v>27</v>
      </c>
    </row>
    <row r="163" spans="1:36" x14ac:dyDescent="0.4">
      <c r="A163" t="s">
        <v>580</v>
      </c>
      <c r="B163">
        <v>161</v>
      </c>
      <c r="C163" t="s">
        <v>56</v>
      </c>
      <c r="D163">
        <v>1</v>
      </c>
      <c r="F163">
        <v>1</v>
      </c>
      <c r="G163" t="s">
        <v>57</v>
      </c>
      <c r="H163" t="s">
        <v>122</v>
      </c>
      <c r="I163" t="s">
        <v>85</v>
      </c>
      <c r="K163" t="s">
        <v>38</v>
      </c>
      <c r="L163">
        <v>1</v>
      </c>
      <c r="M163">
        <v>3</v>
      </c>
      <c r="N163">
        <v>1</v>
      </c>
      <c r="O163" t="s">
        <v>152</v>
      </c>
      <c r="P163" t="s">
        <v>70</v>
      </c>
      <c r="S163" t="s">
        <v>33</v>
      </c>
      <c r="T163">
        <v>2</v>
      </c>
      <c r="V163">
        <v>1</v>
      </c>
      <c r="W163" t="s">
        <v>46</v>
      </c>
      <c r="AA163" t="s">
        <v>63</v>
      </c>
      <c r="AB163">
        <v>1</v>
      </c>
      <c r="AD163">
        <v>2</v>
      </c>
      <c r="AE163" t="s">
        <v>103</v>
      </c>
      <c r="AI163">
        <v>7</v>
      </c>
      <c r="AJ163">
        <v>22</v>
      </c>
    </row>
    <row r="164" spans="1:36" x14ac:dyDescent="0.4">
      <c r="A164" t="s">
        <v>581</v>
      </c>
      <c r="B164">
        <v>162</v>
      </c>
      <c r="C164" t="s">
        <v>56</v>
      </c>
      <c r="D164">
        <v>1</v>
      </c>
      <c r="F164">
        <v>1</v>
      </c>
      <c r="G164" t="s">
        <v>120</v>
      </c>
      <c r="K164" t="s">
        <v>38</v>
      </c>
      <c r="L164">
        <v>2</v>
      </c>
      <c r="M164">
        <v>2</v>
      </c>
      <c r="N164">
        <v>2</v>
      </c>
      <c r="O164" t="s">
        <v>67</v>
      </c>
      <c r="S164" t="s">
        <v>43</v>
      </c>
      <c r="T164">
        <v>1</v>
      </c>
      <c r="V164">
        <v>1</v>
      </c>
      <c r="W164" t="s">
        <v>135</v>
      </c>
      <c r="AA164" t="s">
        <v>45</v>
      </c>
      <c r="AB164">
        <v>2</v>
      </c>
      <c r="AD164">
        <v>1</v>
      </c>
      <c r="AE164" t="s">
        <v>47</v>
      </c>
      <c r="AI164">
        <v>4</v>
      </c>
      <c r="AJ164">
        <v>27</v>
      </c>
    </row>
    <row r="165" spans="1:36" x14ac:dyDescent="0.4">
      <c r="A165" t="s">
        <v>582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74</v>
      </c>
      <c r="I165" t="s">
        <v>75</v>
      </c>
      <c r="K165" t="s">
        <v>63</v>
      </c>
      <c r="L165">
        <v>2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57</v>
      </c>
      <c r="AA165" t="s">
        <v>38</v>
      </c>
      <c r="AB165">
        <v>1</v>
      </c>
      <c r="AC165">
        <v>1</v>
      </c>
      <c r="AD165">
        <v>1</v>
      </c>
      <c r="AE165" t="s">
        <v>67</v>
      </c>
      <c r="AI165">
        <v>3</v>
      </c>
      <c r="AJ165">
        <v>55</v>
      </c>
    </row>
    <row r="166" spans="1:36" x14ac:dyDescent="0.4">
      <c r="A166" t="s">
        <v>583</v>
      </c>
      <c r="B166">
        <v>164</v>
      </c>
      <c r="C166" t="s">
        <v>45</v>
      </c>
      <c r="D166">
        <v>3</v>
      </c>
      <c r="F166">
        <v>1</v>
      </c>
      <c r="G166" t="s">
        <v>47</v>
      </c>
      <c r="K166" t="s">
        <v>63</v>
      </c>
      <c r="L166">
        <v>2</v>
      </c>
      <c r="N166">
        <v>1</v>
      </c>
      <c r="O166" t="s">
        <v>103</v>
      </c>
      <c r="S166" t="s">
        <v>56</v>
      </c>
      <c r="T166">
        <v>2</v>
      </c>
      <c r="V166">
        <v>2</v>
      </c>
      <c r="W166" t="s">
        <v>57</v>
      </c>
      <c r="AA166" t="s">
        <v>38</v>
      </c>
      <c r="AB166">
        <v>1</v>
      </c>
      <c r="AC166">
        <v>1</v>
      </c>
      <c r="AD166">
        <v>1</v>
      </c>
      <c r="AE166" t="s">
        <v>152</v>
      </c>
      <c r="AI166">
        <v>5</v>
      </c>
      <c r="AJ166">
        <v>31</v>
      </c>
    </row>
    <row r="167" spans="1:36" x14ac:dyDescent="0.4">
      <c r="A167" t="s">
        <v>584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K167" t="s">
        <v>45</v>
      </c>
      <c r="L167">
        <v>3</v>
      </c>
      <c r="N167">
        <v>1</v>
      </c>
      <c r="O167" t="s">
        <v>47</v>
      </c>
      <c r="S167" t="s">
        <v>48</v>
      </c>
      <c r="T167">
        <v>3</v>
      </c>
      <c r="V167">
        <v>1</v>
      </c>
      <c r="W167" t="s">
        <v>89</v>
      </c>
      <c r="AA167" t="s">
        <v>33</v>
      </c>
      <c r="AB167">
        <v>2</v>
      </c>
      <c r="AD167">
        <v>3</v>
      </c>
      <c r="AE167" t="s">
        <v>34</v>
      </c>
      <c r="AI167">
        <v>7</v>
      </c>
      <c r="AJ167">
        <v>26</v>
      </c>
    </row>
    <row r="168" spans="1:36" x14ac:dyDescent="0.4">
      <c r="A168" t="s">
        <v>585</v>
      </c>
      <c r="B168">
        <v>166</v>
      </c>
      <c r="C168" t="s">
        <v>48</v>
      </c>
      <c r="D168">
        <v>2</v>
      </c>
      <c r="F168">
        <v>1</v>
      </c>
      <c r="G168" t="s">
        <v>89</v>
      </c>
      <c r="K168" t="s">
        <v>33</v>
      </c>
      <c r="L168">
        <v>2</v>
      </c>
      <c r="N168">
        <v>1</v>
      </c>
      <c r="O168" t="s">
        <v>46</v>
      </c>
      <c r="S168" t="s">
        <v>43</v>
      </c>
      <c r="T168">
        <v>1</v>
      </c>
      <c r="V168">
        <v>1</v>
      </c>
      <c r="W168" t="s">
        <v>135</v>
      </c>
      <c r="X168" t="s">
        <v>136</v>
      </c>
      <c r="AA168" t="s">
        <v>63</v>
      </c>
      <c r="AB168">
        <v>1</v>
      </c>
      <c r="AD168">
        <v>1</v>
      </c>
      <c r="AE168" t="s">
        <v>72</v>
      </c>
      <c r="AI168">
        <v>3</v>
      </c>
      <c r="AJ168">
        <v>21</v>
      </c>
    </row>
    <row r="169" spans="1:36" x14ac:dyDescent="0.4">
      <c r="A169" t="s">
        <v>586</v>
      </c>
      <c r="B169">
        <v>167</v>
      </c>
      <c r="C169" t="s">
        <v>43</v>
      </c>
      <c r="D169">
        <v>1</v>
      </c>
      <c r="F169">
        <v>1</v>
      </c>
      <c r="G169" t="s">
        <v>135</v>
      </c>
      <c r="H169" t="s">
        <v>99</v>
      </c>
      <c r="I169" t="s">
        <v>100</v>
      </c>
      <c r="K169" t="s">
        <v>38</v>
      </c>
      <c r="L169">
        <v>2</v>
      </c>
      <c r="M169">
        <v>1</v>
      </c>
      <c r="N169">
        <v>1</v>
      </c>
      <c r="O169" t="s">
        <v>67</v>
      </c>
      <c r="P169" t="s">
        <v>70</v>
      </c>
      <c r="S169" t="s">
        <v>48</v>
      </c>
      <c r="T169">
        <v>2</v>
      </c>
      <c r="V169">
        <v>1</v>
      </c>
      <c r="W169" t="s">
        <v>89</v>
      </c>
      <c r="AA169" t="s">
        <v>33</v>
      </c>
      <c r="AB169">
        <v>1</v>
      </c>
      <c r="AD169">
        <v>1</v>
      </c>
      <c r="AE169" t="s">
        <v>46</v>
      </c>
      <c r="AF169" t="s">
        <v>130</v>
      </c>
      <c r="AI169">
        <v>6</v>
      </c>
      <c r="AJ169">
        <v>24</v>
      </c>
    </row>
    <row r="170" spans="1:36" x14ac:dyDescent="0.4">
      <c r="A170" t="s">
        <v>587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2</v>
      </c>
      <c r="N170">
        <v>1</v>
      </c>
      <c r="O170" t="s">
        <v>103</v>
      </c>
      <c r="S170" t="s">
        <v>48</v>
      </c>
      <c r="T170">
        <v>1</v>
      </c>
      <c r="V170">
        <v>1</v>
      </c>
      <c r="W170" t="s">
        <v>89</v>
      </c>
      <c r="X170" t="s">
        <v>50</v>
      </c>
      <c r="AA170" t="s">
        <v>33</v>
      </c>
      <c r="AB170">
        <v>2</v>
      </c>
      <c r="AD170">
        <v>1</v>
      </c>
      <c r="AE170" t="s">
        <v>46</v>
      </c>
      <c r="AF170" t="s">
        <v>35</v>
      </c>
      <c r="AI170">
        <v>6</v>
      </c>
      <c r="AJ170">
        <v>27</v>
      </c>
    </row>
    <row r="171" spans="1:36" x14ac:dyDescent="0.4">
      <c r="A171" t="s">
        <v>588</v>
      </c>
      <c r="B171">
        <v>169</v>
      </c>
      <c r="C171" t="s">
        <v>45</v>
      </c>
      <c r="D171">
        <v>3</v>
      </c>
      <c r="F171">
        <v>1</v>
      </c>
      <c r="G171" t="s">
        <v>47</v>
      </c>
      <c r="K171" t="s">
        <v>38</v>
      </c>
      <c r="L171">
        <v>1</v>
      </c>
      <c r="M171">
        <v>1</v>
      </c>
      <c r="N171">
        <v>1</v>
      </c>
      <c r="O171" t="s">
        <v>152</v>
      </c>
      <c r="S171" t="s">
        <v>48</v>
      </c>
      <c r="T171">
        <v>1</v>
      </c>
      <c r="V171">
        <v>1</v>
      </c>
      <c r="W171" t="s">
        <v>89</v>
      </c>
      <c r="AA171" t="s">
        <v>33</v>
      </c>
      <c r="AB171">
        <v>1</v>
      </c>
      <c r="AD171">
        <v>2</v>
      </c>
      <c r="AE171" t="s">
        <v>46</v>
      </c>
      <c r="AF171" t="s">
        <v>66</v>
      </c>
      <c r="AI171">
        <v>4</v>
      </c>
      <c r="AJ171">
        <v>26</v>
      </c>
    </row>
    <row r="172" spans="1:36" x14ac:dyDescent="0.4">
      <c r="A172" t="s">
        <v>589</v>
      </c>
      <c r="B172">
        <v>170</v>
      </c>
      <c r="C172" t="s">
        <v>48</v>
      </c>
      <c r="D172">
        <v>2</v>
      </c>
      <c r="F172">
        <v>1</v>
      </c>
      <c r="G172" t="s">
        <v>49</v>
      </c>
      <c r="K172" t="s">
        <v>33</v>
      </c>
      <c r="L172">
        <v>2</v>
      </c>
      <c r="N172">
        <v>1</v>
      </c>
      <c r="O172" t="s">
        <v>46</v>
      </c>
      <c r="P172" t="s">
        <v>66</v>
      </c>
      <c r="Q172" t="s">
        <v>132</v>
      </c>
      <c r="S172" t="s">
        <v>63</v>
      </c>
      <c r="T172">
        <v>2</v>
      </c>
      <c r="V172">
        <v>1</v>
      </c>
      <c r="W172" t="s">
        <v>72</v>
      </c>
      <c r="AA172" t="s">
        <v>38</v>
      </c>
      <c r="AB172">
        <v>1</v>
      </c>
      <c r="AC172">
        <v>1</v>
      </c>
      <c r="AD172">
        <v>1</v>
      </c>
      <c r="AE172" t="s">
        <v>152</v>
      </c>
      <c r="AI172">
        <v>5</v>
      </c>
      <c r="AJ172">
        <v>33</v>
      </c>
    </row>
    <row r="173" spans="1:36" x14ac:dyDescent="0.4">
      <c r="A173" t="s">
        <v>590</v>
      </c>
      <c r="B173">
        <v>171</v>
      </c>
      <c r="C173" t="s">
        <v>33</v>
      </c>
      <c r="D173">
        <v>3</v>
      </c>
      <c r="F173">
        <v>1</v>
      </c>
      <c r="G173" t="s">
        <v>46</v>
      </c>
      <c r="K173" t="s">
        <v>45</v>
      </c>
      <c r="L173">
        <v>3</v>
      </c>
      <c r="N173">
        <v>1</v>
      </c>
      <c r="O173" t="s">
        <v>47</v>
      </c>
      <c r="P173" t="s">
        <v>141</v>
      </c>
      <c r="S173" t="s">
        <v>48</v>
      </c>
      <c r="T173">
        <v>3</v>
      </c>
      <c r="V173">
        <v>2</v>
      </c>
      <c r="W173" t="s">
        <v>89</v>
      </c>
      <c r="AA173" t="s">
        <v>43</v>
      </c>
      <c r="AB173">
        <v>1</v>
      </c>
      <c r="AD173">
        <v>1</v>
      </c>
      <c r="AE173" t="s">
        <v>135</v>
      </c>
      <c r="AF173" t="s">
        <v>136</v>
      </c>
      <c r="AI173">
        <v>9</v>
      </c>
      <c r="AJ173">
        <v>25</v>
      </c>
    </row>
    <row r="174" spans="1:36" x14ac:dyDescent="0.4">
      <c r="A174" t="s">
        <v>591</v>
      </c>
      <c r="B174">
        <v>172</v>
      </c>
      <c r="C174" t="s">
        <v>48</v>
      </c>
      <c r="D174">
        <v>1</v>
      </c>
      <c r="F174">
        <v>1</v>
      </c>
      <c r="G174" t="s">
        <v>49</v>
      </c>
      <c r="K174" t="s">
        <v>43</v>
      </c>
      <c r="L174">
        <v>3</v>
      </c>
      <c r="N174">
        <v>2</v>
      </c>
      <c r="O174" t="s">
        <v>135</v>
      </c>
      <c r="P174" t="s">
        <v>136</v>
      </c>
      <c r="S174" t="s">
        <v>33</v>
      </c>
      <c r="T174">
        <v>3</v>
      </c>
      <c r="V174">
        <v>1</v>
      </c>
      <c r="W174" t="s">
        <v>65</v>
      </c>
      <c r="X174" t="s">
        <v>66</v>
      </c>
      <c r="AA174" t="s">
        <v>63</v>
      </c>
      <c r="AB174">
        <v>2</v>
      </c>
      <c r="AD174">
        <v>1</v>
      </c>
      <c r="AE174" t="s">
        <v>72</v>
      </c>
      <c r="AI174">
        <v>8</v>
      </c>
      <c r="AJ174">
        <v>24</v>
      </c>
    </row>
    <row r="175" spans="1:36" x14ac:dyDescent="0.4">
      <c r="A175" t="s">
        <v>592</v>
      </c>
      <c r="B175">
        <v>173</v>
      </c>
      <c r="C175" t="s">
        <v>33</v>
      </c>
      <c r="D175">
        <v>3</v>
      </c>
      <c r="F175">
        <v>2</v>
      </c>
      <c r="G175" t="s">
        <v>65</v>
      </c>
      <c r="K175" t="s">
        <v>38</v>
      </c>
      <c r="L175">
        <v>1</v>
      </c>
      <c r="M175">
        <v>1</v>
      </c>
      <c r="N175">
        <v>1</v>
      </c>
      <c r="O175" t="s">
        <v>152</v>
      </c>
      <c r="P175" t="s">
        <v>70</v>
      </c>
      <c r="S175" t="s">
        <v>48</v>
      </c>
      <c r="T175">
        <v>1</v>
      </c>
      <c r="V175">
        <v>1</v>
      </c>
      <c r="W175" t="s">
        <v>89</v>
      </c>
      <c r="AA175" t="s">
        <v>43</v>
      </c>
      <c r="AB175">
        <v>3</v>
      </c>
      <c r="AD175">
        <v>1</v>
      </c>
      <c r="AE175" t="s">
        <v>135</v>
      </c>
      <c r="AF175" t="s">
        <v>99</v>
      </c>
      <c r="AI175">
        <v>7</v>
      </c>
      <c r="AJ175">
        <v>21</v>
      </c>
    </row>
    <row r="176" spans="1:36" x14ac:dyDescent="0.4">
      <c r="A176" t="s">
        <v>593</v>
      </c>
      <c r="B176">
        <v>174</v>
      </c>
      <c r="C176" t="s">
        <v>45</v>
      </c>
      <c r="D176">
        <v>3</v>
      </c>
      <c r="F176">
        <v>1</v>
      </c>
      <c r="G176" t="s">
        <v>47</v>
      </c>
      <c r="K176" t="s">
        <v>63</v>
      </c>
      <c r="L176">
        <v>1</v>
      </c>
      <c r="N176">
        <v>1</v>
      </c>
      <c r="O176" t="s">
        <v>72</v>
      </c>
      <c r="P176" t="s">
        <v>95</v>
      </c>
      <c r="S176" t="s">
        <v>48</v>
      </c>
      <c r="T176">
        <v>3</v>
      </c>
      <c r="V176">
        <v>1</v>
      </c>
      <c r="W176" t="s">
        <v>49</v>
      </c>
      <c r="AA176" t="s">
        <v>43</v>
      </c>
      <c r="AB176">
        <v>2</v>
      </c>
      <c r="AD176">
        <v>1</v>
      </c>
      <c r="AE176" t="s">
        <v>135</v>
      </c>
      <c r="AI176">
        <v>6</v>
      </c>
      <c r="AJ176">
        <v>24</v>
      </c>
    </row>
    <row r="177" spans="1:36" x14ac:dyDescent="0.4">
      <c r="A177" t="s">
        <v>594</v>
      </c>
      <c r="B177">
        <v>175</v>
      </c>
      <c r="C177" t="s">
        <v>48</v>
      </c>
      <c r="D177">
        <v>1</v>
      </c>
      <c r="F177">
        <v>1</v>
      </c>
      <c r="G177" t="s">
        <v>89</v>
      </c>
      <c r="K177" t="s">
        <v>43</v>
      </c>
      <c r="L177">
        <v>2</v>
      </c>
      <c r="N177">
        <v>3</v>
      </c>
      <c r="O177" t="s">
        <v>135</v>
      </c>
      <c r="P177" t="s">
        <v>99</v>
      </c>
      <c r="S177" t="s">
        <v>45</v>
      </c>
      <c r="T177">
        <v>3</v>
      </c>
      <c r="V177">
        <v>1</v>
      </c>
      <c r="W177" t="s">
        <v>47</v>
      </c>
      <c r="AA177" t="s">
        <v>38</v>
      </c>
      <c r="AB177">
        <v>1</v>
      </c>
      <c r="AC177">
        <v>1</v>
      </c>
      <c r="AD177">
        <v>1</v>
      </c>
      <c r="AE177" t="s">
        <v>152</v>
      </c>
      <c r="AF177" t="s">
        <v>96</v>
      </c>
      <c r="AI177">
        <v>7</v>
      </c>
      <c r="AJ177">
        <v>31</v>
      </c>
    </row>
    <row r="178" spans="1:36" x14ac:dyDescent="0.4">
      <c r="A178" t="s">
        <v>595</v>
      </c>
      <c r="B178">
        <v>176</v>
      </c>
      <c r="C178" t="s">
        <v>63</v>
      </c>
      <c r="D178">
        <v>2</v>
      </c>
      <c r="F178">
        <v>1</v>
      </c>
      <c r="G178" t="s">
        <v>72</v>
      </c>
      <c r="K178" t="s">
        <v>38</v>
      </c>
      <c r="L178">
        <v>2</v>
      </c>
      <c r="M178">
        <v>1</v>
      </c>
      <c r="N178">
        <v>1</v>
      </c>
      <c r="O178" t="s">
        <v>152</v>
      </c>
      <c r="P178" t="s">
        <v>70</v>
      </c>
      <c r="S178" t="s">
        <v>48</v>
      </c>
      <c r="T178">
        <v>2</v>
      </c>
      <c r="V178">
        <v>1</v>
      </c>
      <c r="W178" t="s">
        <v>49</v>
      </c>
      <c r="AA178" t="s">
        <v>43</v>
      </c>
      <c r="AB178">
        <v>1</v>
      </c>
      <c r="AD178">
        <v>1</v>
      </c>
      <c r="AE178" t="s">
        <v>135</v>
      </c>
      <c r="AI178">
        <v>4</v>
      </c>
      <c r="AJ178">
        <v>30</v>
      </c>
    </row>
    <row r="179" spans="1:36" x14ac:dyDescent="0.4">
      <c r="A179" t="s">
        <v>596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3</v>
      </c>
      <c r="N179">
        <v>1</v>
      </c>
      <c r="O179" t="s">
        <v>47</v>
      </c>
      <c r="S179" t="s">
        <v>33</v>
      </c>
      <c r="T179">
        <v>2</v>
      </c>
      <c r="V179">
        <v>1</v>
      </c>
      <c r="W179" t="s">
        <v>46</v>
      </c>
      <c r="X179" t="s">
        <v>130</v>
      </c>
      <c r="AA179" t="s">
        <v>43</v>
      </c>
      <c r="AB179">
        <v>1</v>
      </c>
      <c r="AD179">
        <v>1</v>
      </c>
      <c r="AE179" t="s">
        <v>135</v>
      </c>
      <c r="AI179">
        <v>4</v>
      </c>
      <c r="AJ179">
        <v>19</v>
      </c>
    </row>
    <row r="180" spans="1:36" x14ac:dyDescent="0.4">
      <c r="A180" t="s">
        <v>597</v>
      </c>
      <c r="B180">
        <v>178</v>
      </c>
      <c r="C180" t="s">
        <v>48</v>
      </c>
      <c r="D180">
        <v>1</v>
      </c>
      <c r="F180">
        <v>2</v>
      </c>
      <c r="G180" t="s">
        <v>49</v>
      </c>
      <c r="H180" t="s">
        <v>84</v>
      </c>
      <c r="I180" t="s">
        <v>90</v>
      </c>
      <c r="J180" t="s">
        <v>128</v>
      </c>
      <c r="K180" t="s">
        <v>45</v>
      </c>
      <c r="L180">
        <v>2</v>
      </c>
      <c r="N180">
        <v>1</v>
      </c>
      <c r="O180" t="s">
        <v>47</v>
      </c>
      <c r="P180" t="s">
        <v>76</v>
      </c>
      <c r="S180" t="s">
        <v>33</v>
      </c>
      <c r="T180">
        <v>2</v>
      </c>
      <c r="V180">
        <v>1</v>
      </c>
      <c r="W180" t="s">
        <v>46</v>
      </c>
      <c r="AA180" t="s">
        <v>63</v>
      </c>
      <c r="AB180">
        <v>3</v>
      </c>
      <c r="AD180">
        <v>1</v>
      </c>
      <c r="AE180" t="s">
        <v>72</v>
      </c>
      <c r="AF180" t="s">
        <v>95</v>
      </c>
      <c r="AI180">
        <v>10</v>
      </c>
      <c r="AJ180">
        <v>33</v>
      </c>
    </row>
    <row r="181" spans="1:36" x14ac:dyDescent="0.4">
      <c r="A181" t="s">
        <v>598</v>
      </c>
      <c r="B181">
        <v>179</v>
      </c>
      <c r="C181" t="s">
        <v>33</v>
      </c>
      <c r="D181">
        <v>2</v>
      </c>
      <c r="F181">
        <v>1</v>
      </c>
      <c r="G181" t="s">
        <v>46</v>
      </c>
      <c r="K181" t="s">
        <v>38</v>
      </c>
      <c r="L181">
        <v>2</v>
      </c>
      <c r="M181">
        <v>2</v>
      </c>
      <c r="N181">
        <v>2</v>
      </c>
      <c r="O181" t="s">
        <v>152</v>
      </c>
      <c r="P181" t="s">
        <v>70</v>
      </c>
      <c r="S181" t="s">
        <v>48</v>
      </c>
      <c r="T181">
        <v>1</v>
      </c>
      <c r="V181">
        <v>1</v>
      </c>
      <c r="W181" t="s">
        <v>89</v>
      </c>
      <c r="AA181" t="s">
        <v>45</v>
      </c>
      <c r="AB181">
        <v>1</v>
      </c>
      <c r="AD181">
        <v>1</v>
      </c>
      <c r="AE181" t="s">
        <v>47</v>
      </c>
      <c r="AI181">
        <v>5</v>
      </c>
      <c r="AJ181">
        <v>22</v>
      </c>
    </row>
    <row r="182" spans="1:36" x14ac:dyDescent="0.4">
      <c r="A182" t="s">
        <v>599</v>
      </c>
      <c r="B182">
        <v>180</v>
      </c>
      <c r="C182" t="s">
        <v>43</v>
      </c>
      <c r="D182">
        <v>3</v>
      </c>
      <c r="F182">
        <v>2</v>
      </c>
      <c r="G182" t="s">
        <v>135</v>
      </c>
      <c r="H182" t="s">
        <v>99</v>
      </c>
      <c r="I182" t="s">
        <v>137</v>
      </c>
      <c r="K182" t="s">
        <v>63</v>
      </c>
      <c r="L182">
        <v>2</v>
      </c>
      <c r="N182">
        <v>1</v>
      </c>
      <c r="O182" t="s">
        <v>72</v>
      </c>
      <c r="S182" t="s">
        <v>48</v>
      </c>
      <c r="T182">
        <v>3</v>
      </c>
      <c r="V182">
        <v>1</v>
      </c>
      <c r="W182" t="s">
        <v>49</v>
      </c>
      <c r="AA182" t="s">
        <v>45</v>
      </c>
      <c r="AB182">
        <v>2</v>
      </c>
      <c r="AD182">
        <v>1</v>
      </c>
      <c r="AE182" t="s">
        <v>47</v>
      </c>
      <c r="AI182">
        <v>9</v>
      </c>
      <c r="AJ182">
        <v>26</v>
      </c>
    </row>
    <row r="183" spans="1:36" x14ac:dyDescent="0.4">
      <c r="A183" t="s">
        <v>600</v>
      </c>
      <c r="B183">
        <v>181</v>
      </c>
      <c r="C183" t="s">
        <v>43</v>
      </c>
      <c r="D183">
        <v>2</v>
      </c>
      <c r="F183">
        <v>1</v>
      </c>
      <c r="G183" t="s">
        <v>135</v>
      </c>
      <c r="H183" t="s">
        <v>99</v>
      </c>
      <c r="K183" t="s">
        <v>38</v>
      </c>
      <c r="L183">
        <v>2</v>
      </c>
      <c r="M183">
        <v>2</v>
      </c>
      <c r="N183">
        <v>1</v>
      </c>
      <c r="O183" t="s">
        <v>67</v>
      </c>
      <c r="S183" t="s">
        <v>48</v>
      </c>
      <c r="T183">
        <v>1</v>
      </c>
      <c r="V183">
        <v>1</v>
      </c>
      <c r="W183" t="s">
        <v>89</v>
      </c>
      <c r="X183" t="s">
        <v>50</v>
      </c>
      <c r="AA183" t="s">
        <v>45</v>
      </c>
      <c r="AB183">
        <v>2</v>
      </c>
      <c r="AD183">
        <v>1</v>
      </c>
      <c r="AE183" t="s">
        <v>47</v>
      </c>
      <c r="AI183">
        <v>6</v>
      </c>
      <c r="AJ183">
        <v>29</v>
      </c>
    </row>
    <row r="184" spans="1:36" x14ac:dyDescent="0.4">
      <c r="A184" t="s">
        <v>601</v>
      </c>
      <c r="B184">
        <v>182</v>
      </c>
      <c r="C184" t="s">
        <v>63</v>
      </c>
      <c r="D184">
        <v>2</v>
      </c>
      <c r="F184">
        <v>1</v>
      </c>
      <c r="G184" t="s">
        <v>72</v>
      </c>
      <c r="K184" t="s">
        <v>38</v>
      </c>
      <c r="L184">
        <v>2</v>
      </c>
      <c r="M184">
        <v>1</v>
      </c>
      <c r="N184">
        <v>2</v>
      </c>
      <c r="O184" t="s">
        <v>67</v>
      </c>
      <c r="P184" t="s">
        <v>70</v>
      </c>
      <c r="S184" t="s">
        <v>48</v>
      </c>
      <c r="T184">
        <v>2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6</v>
      </c>
      <c r="AJ184">
        <v>27</v>
      </c>
    </row>
    <row r="185" spans="1:36" x14ac:dyDescent="0.4">
      <c r="A185" t="s">
        <v>602</v>
      </c>
      <c r="B185">
        <v>183</v>
      </c>
      <c r="C185" t="s">
        <v>33</v>
      </c>
      <c r="D185">
        <v>2</v>
      </c>
      <c r="F185">
        <v>1</v>
      </c>
      <c r="G185" t="s">
        <v>46</v>
      </c>
      <c r="H185" t="s">
        <v>66</v>
      </c>
      <c r="K185" t="s">
        <v>43</v>
      </c>
      <c r="L185">
        <v>1</v>
      </c>
      <c r="N185">
        <v>1</v>
      </c>
      <c r="O185" t="s">
        <v>135</v>
      </c>
      <c r="P185" t="s">
        <v>99</v>
      </c>
      <c r="Q185" t="s">
        <v>137</v>
      </c>
      <c r="S185" t="s">
        <v>48</v>
      </c>
      <c r="T185">
        <v>1</v>
      </c>
      <c r="V185">
        <v>1</v>
      </c>
      <c r="W185" t="s">
        <v>89</v>
      </c>
      <c r="X185" t="s">
        <v>50</v>
      </c>
      <c r="AA185" t="s">
        <v>63</v>
      </c>
      <c r="AB185">
        <v>3</v>
      </c>
      <c r="AD185">
        <v>1</v>
      </c>
      <c r="AE185" t="s">
        <v>72</v>
      </c>
      <c r="AF185" t="s">
        <v>146</v>
      </c>
      <c r="AI185">
        <v>8</v>
      </c>
      <c r="AJ185">
        <v>50</v>
      </c>
    </row>
    <row r="186" spans="1:36" x14ac:dyDescent="0.4">
      <c r="A186" t="s">
        <v>603</v>
      </c>
      <c r="B186">
        <v>184</v>
      </c>
      <c r="C186" t="s">
        <v>33</v>
      </c>
      <c r="D186">
        <v>3</v>
      </c>
      <c r="F186">
        <v>1</v>
      </c>
      <c r="G186" t="s">
        <v>46</v>
      </c>
      <c r="H186" t="s">
        <v>35</v>
      </c>
      <c r="I186" t="s">
        <v>131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AA186" t="s">
        <v>63</v>
      </c>
      <c r="AB186">
        <v>1</v>
      </c>
      <c r="AD186">
        <v>3</v>
      </c>
      <c r="AE186" t="s">
        <v>72</v>
      </c>
      <c r="AF186" t="s">
        <v>146</v>
      </c>
      <c r="AI186">
        <v>8</v>
      </c>
      <c r="AJ186">
        <v>38</v>
      </c>
    </row>
    <row r="187" spans="1:36" x14ac:dyDescent="0.4">
      <c r="A187" t="s">
        <v>604</v>
      </c>
      <c r="B187">
        <v>185</v>
      </c>
      <c r="C187" t="s">
        <v>48</v>
      </c>
      <c r="D187">
        <v>1</v>
      </c>
      <c r="F187">
        <v>1</v>
      </c>
      <c r="G187" t="s">
        <v>89</v>
      </c>
      <c r="K187" t="s">
        <v>63</v>
      </c>
      <c r="L187">
        <v>2</v>
      </c>
      <c r="N187">
        <v>1</v>
      </c>
      <c r="O187" t="s">
        <v>72</v>
      </c>
      <c r="S187" t="s">
        <v>33</v>
      </c>
      <c r="T187">
        <v>2</v>
      </c>
      <c r="V187">
        <v>1</v>
      </c>
      <c r="W187" t="s">
        <v>46</v>
      </c>
      <c r="AA187" t="s">
        <v>38</v>
      </c>
      <c r="AB187">
        <v>1</v>
      </c>
      <c r="AC187">
        <v>1</v>
      </c>
      <c r="AD187">
        <v>1</v>
      </c>
      <c r="AE187" t="s">
        <v>152</v>
      </c>
      <c r="AI187">
        <v>2</v>
      </c>
      <c r="AJ187">
        <v>27</v>
      </c>
    </row>
    <row r="188" spans="1:36" x14ac:dyDescent="0.4">
      <c r="A188" t="s">
        <v>605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H188" t="s">
        <v>99</v>
      </c>
      <c r="I188" t="s">
        <v>137</v>
      </c>
      <c r="K188" t="s">
        <v>45</v>
      </c>
      <c r="L188">
        <v>3</v>
      </c>
      <c r="N188">
        <v>1</v>
      </c>
      <c r="O188" t="s">
        <v>47</v>
      </c>
      <c r="S188" t="s">
        <v>48</v>
      </c>
      <c r="T188">
        <v>3</v>
      </c>
      <c r="V188">
        <v>1</v>
      </c>
      <c r="W188" t="s">
        <v>89</v>
      </c>
      <c r="AA188" t="s">
        <v>63</v>
      </c>
      <c r="AB188">
        <v>2</v>
      </c>
      <c r="AD188">
        <v>1</v>
      </c>
      <c r="AE188" t="s">
        <v>72</v>
      </c>
      <c r="AI188">
        <v>7</v>
      </c>
      <c r="AJ188">
        <v>34</v>
      </c>
    </row>
    <row r="189" spans="1:36" x14ac:dyDescent="0.4">
      <c r="A189" t="s">
        <v>606</v>
      </c>
      <c r="B189">
        <v>187</v>
      </c>
      <c r="C189" t="s">
        <v>43</v>
      </c>
      <c r="D189">
        <v>3</v>
      </c>
      <c r="F189">
        <v>1</v>
      </c>
      <c r="G189" t="s">
        <v>135</v>
      </c>
      <c r="H189" t="s">
        <v>99</v>
      </c>
      <c r="K189" t="s">
        <v>38</v>
      </c>
      <c r="L189">
        <v>2</v>
      </c>
      <c r="M189">
        <v>1</v>
      </c>
      <c r="N189">
        <v>1</v>
      </c>
      <c r="O189" t="s">
        <v>152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Y189" t="s">
        <v>51</v>
      </c>
      <c r="AA189" t="s">
        <v>63</v>
      </c>
      <c r="AB189">
        <v>2</v>
      </c>
      <c r="AD189">
        <v>1</v>
      </c>
      <c r="AE189" t="s">
        <v>72</v>
      </c>
      <c r="AI189">
        <v>7</v>
      </c>
      <c r="AJ189">
        <v>25</v>
      </c>
    </row>
    <row r="190" spans="1:36" x14ac:dyDescent="0.4">
      <c r="A190" t="s">
        <v>607</v>
      </c>
      <c r="B190">
        <v>188</v>
      </c>
      <c r="C190" t="s">
        <v>48</v>
      </c>
      <c r="D190">
        <v>3</v>
      </c>
      <c r="F190">
        <v>1</v>
      </c>
      <c r="G190" t="s">
        <v>89</v>
      </c>
      <c r="H190" t="s">
        <v>71</v>
      </c>
      <c r="K190" t="s">
        <v>63</v>
      </c>
      <c r="L190">
        <v>1</v>
      </c>
      <c r="N190">
        <v>1</v>
      </c>
      <c r="O190" t="s">
        <v>72</v>
      </c>
      <c r="P190" t="s">
        <v>95</v>
      </c>
      <c r="Q190" t="s">
        <v>104</v>
      </c>
      <c r="S190" t="s">
        <v>45</v>
      </c>
      <c r="T190">
        <v>3</v>
      </c>
      <c r="V190">
        <v>1</v>
      </c>
      <c r="W190" t="s">
        <v>47</v>
      </c>
      <c r="AA190" t="s">
        <v>38</v>
      </c>
      <c r="AB190">
        <v>1</v>
      </c>
      <c r="AC190">
        <v>1</v>
      </c>
      <c r="AD190">
        <v>1</v>
      </c>
      <c r="AE190" t="s">
        <v>152</v>
      </c>
      <c r="AI190">
        <v>7</v>
      </c>
      <c r="AJ190">
        <v>40</v>
      </c>
    </row>
    <row r="191" spans="1:36" x14ac:dyDescent="0.4">
      <c r="A191" t="s">
        <v>608</v>
      </c>
      <c r="B191">
        <v>189</v>
      </c>
      <c r="C191" t="s">
        <v>33</v>
      </c>
      <c r="D191">
        <v>2</v>
      </c>
      <c r="F191">
        <v>3</v>
      </c>
      <c r="G191" t="s">
        <v>46</v>
      </c>
      <c r="H191" t="s">
        <v>66</v>
      </c>
      <c r="K191" t="s">
        <v>43</v>
      </c>
      <c r="L191">
        <v>1</v>
      </c>
      <c r="N191">
        <v>1</v>
      </c>
      <c r="O191" t="s">
        <v>135</v>
      </c>
      <c r="P191" t="s">
        <v>99</v>
      </c>
      <c r="S191" t="s">
        <v>48</v>
      </c>
      <c r="T191">
        <v>3</v>
      </c>
      <c r="V191">
        <v>1</v>
      </c>
      <c r="W191" t="s">
        <v>89</v>
      </c>
      <c r="AA191" t="s">
        <v>38</v>
      </c>
      <c r="AB191">
        <v>1</v>
      </c>
      <c r="AC191">
        <v>1</v>
      </c>
      <c r="AD191">
        <v>1</v>
      </c>
      <c r="AE191" t="s">
        <v>67</v>
      </c>
      <c r="AI191">
        <v>7</v>
      </c>
      <c r="AJ191">
        <v>30</v>
      </c>
    </row>
    <row r="192" spans="1:36" x14ac:dyDescent="0.4">
      <c r="A192" t="s">
        <v>609</v>
      </c>
      <c r="B192">
        <v>190</v>
      </c>
      <c r="C192" t="s">
        <v>33</v>
      </c>
      <c r="D192">
        <v>3</v>
      </c>
      <c r="F192">
        <v>1</v>
      </c>
      <c r="G192" t="s">
        <v>46</v>
      </c>
      <c r="H192" t="s">
        <v>35</v>
      </c>
      <c r="I192" t="s">
        <v>132</v>
      </c>
      <c r="K192" t="s">
        <v>45</v>
      </c>
      <c r="L192">
        <v>3</v>
      </c>
      <c r="N192">
        <v>1</v>
      </c>
      <c r="O192" t="s">
        <v>47</v>
      </c>
      <c r="S192" t="s">
        <v>48</v>
      </c>
      <c r="T192">
        <v>3</v>
      </c>
      <c r="V192">
        <v>1</v>
      </c>
      <c r="W192" t="s">
        <v>89</v>
      </c>
      <c r="AA192" t="s">
        <v>38</v>
      </c>
      <c r="AB192">
        <v>1</v>
      </c>
      <c r="AC192">
        <v>1</v>
      </c>
      <c r="AD192">
        <v>1</v>
      </c>
      <c r="AE192" t="s">
        <v>67</v>
      </c>
      <c r="AI192">
        <v>8</v>
      </c>
      <c r="AJ192">
        <v>20</v>
      </c>
    </row>
    <row r="193" spans="1:36" x14ac:dyDescent="0.4">
      <c r="A193" t="s">
        <v>610</v>
      </c>
      <c r="B193">
        <v>191</v>
      </c>
      <c r="C193" t="s">
        <v>33</v>
      </c>
      <c r="D193">
        <v>3</v>
      </c>
      <c r="F193">
        <v>1</v>
      </c>
      <c r="G193" t="s">
        <v>46</v>
      </c>
      <c r="K193" t="s">
        <v>63</v>
      </c>
      <c r="L193">
        <v>1</v>
      </c>
      <c r="N193">
        <v>1</v>
      </c>
      <c r="O193" t="s">
        <v>72</v>
      </c>
      <c r="S193" t="s">
        <v>48</v>
      </c>
      <c r="T193">
        <v>1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1</v>
      </c>
      <c r="AE193" t="s">
        <v>152</v>
      </c>
      <c r="AI193">
        <v>2</v>
      </c>
      <c r="AJ193">
        <v>21</v>
      </c>
    </row>
    <row r="194" spans="1:36" x14ac:dyDescent="0.4">
      <c r="A194" t="s">
        <v>611</v>
      </c>
      <c r="B194">
        <v>192</v>
      </c>
      <c r="C194" t="s">
        <v>43</v>
      </c>
      <c r="D194">
        <v>1</v>
      </c>
      <c r="F194">
        <v>1</v>
      </c>
      <c r="G194" t="s">
        <v>135</v>
      </c>
      <c r="H194" t="s">
        <v>99</v>
      </c>
      <c r="K194" t="s">
        <v>45</v>
      </c>
      <c r="L194">
        <v>3</v>
      </c>
      <c r="N194">
        <v>1</v>
      </c>
      <c r="O194" t="s">
        <v>47</v>
      </c>
      <c r="S194" t="s">
        <v>48</v>
      </c>
      <c r="T194">
        <v>1</v>
      </c>
      <c r="V194">
        <v>1</v>
      </c>
      <c r="W194" t="s">
        <v>89</v>
      </c>
      <c r="X194" t="s">
        <v>50</v>
      </c>
      <c r="AA194" t="s">
        <v>38</v>
      </c>
      <c r="AB194">
        <v>1</v>
      </c>
      <c r="AC194">
        <v>2</v>
      </c>
      <c r="AD194">
        <v>1</v>
      </c>
      <c r="AE194" t="s">
        <v>67</v>
      </c>
      <c r="AI194">
        <v>5</v>
      </c>
      <c r="AJ194">
        <v>18</v>
      </c>
    </row>
    <row r="195" spans="1:36" x14ac:dyDescent="0.4">
      <c r="A195" t="s">
        <v>612</v>
      </c>
      <c r="B195">
        <v>193</v>
      </c>
      <c r="C195" t="s">
        <v>43</v>
      </c>
      <c r="D195">
        <v>1</v>
      </c>
      <c r="F195">
        <v>2</v>
      </c>
      <c r="G195" t="s">
        <v>135</v>
      </c>
      <c r="H195" t="s">
        <v>74</v>
      </c>
      <c r="I195" t="s">
        <v>137</v>
      </c>
      <c r="J195" t="s">
        <v>101</v>
      </c>
      <c r="K195" t="s">
        <v>63</v>
      </c>
      <c r="L195">
        <v>3</v>
      </c>
      <c r="N195">
        <v>1</v>
      </c>
      <c r="O195" t="s">
        <v>103</v>
      </c>
      <c r="P195" t="s">
        <v>146</v>
      </c>
      <c r="S195" t="s">
        <v>48</v>
      </c>
      <c r="T195">
        <v>1</v>
      </c>
      <c r="V195">
        <v>1</v>
      </c>
      <c r="W195" t="s">
        <v>49</v>
      </c>
      <c r="X195" t="s">
        <v>50</v>
      </c>
      <c r="Y195" t="s">
        <v>90</v>
      </c>
      <c r="AA195" t="s">
        <v>38</v>
      </c>
      <c r="AB195">
        <v>2</v>
      </c>
      <c r="AC195">
        <v>1</v>
      </c>
      <c r="AD195">
        <v>3</v>
      </c>
      <c r="AE195" t="s">
        <v>67</v>
      </c>
      <c r="AF195" t="s">
        <v>70</v>
      </c>
      <c r="AG195" t="s">
        <v>154</v>
      </c>
      <c r="AH195" t="s">
        <v>42</v>
      </c>
      <c r="AI195">
        <v>15</v>
      </c>
      <c r="AJ195">
        <v>48</v>
      </c>
    </row>
    <row r="196" spans="1:36" x14ac:dyDescent="0.4">
      <c r="A196" t="s">
        <v>613</v>
      </c>
      <c r="B196">
        <v>194</v>
      </c>
      <c r="C196" t="s">
        <v>45</v>
      </c>
      <c r="D196">
        <v>3</v>
      </c>
      <c r="F196">
        <v>1</v>
      </c>
      <c r="G196" t="s">
        <v>47</v>
      </c>
      <c r="K196" t="s">
        <v>63</v>
      </c>
      <c r="L196">
        <v>1</v>
      </c>
      <c r="N196">
        <v>1</v>
      </c>
      <c r="O196" t="s">
        <v>72</v>
      </c>
      <c r="S196" t="s">
        <v>48</v>
      </c>
      <c r="T196">
        <v>2</v>
      </c>
      <c r="V196">
        <v>1</v>
      </c>
      <c r="W196" t="s">
        <v>49</v>
      </c>
      <c r="AA196" t="s">
        <v>38</v>
      </c>
      <c r="AB196">
        <v>2</v>
      </c>
      <c r="AC196">
        <v>1</v>
      </c>
      <c r="AD196">
        <v>1</v>
      </c>
      <c r="AE196" t="s">
        <v>67</v>
      </c>
      <c r="AI196">
        <v>4</v>
      </c>
      <c r="AJ196">
        <v>20</v>
      </c>
    </row>
    <row r="197" spans="1:36" x14ac:dyDescent="0.4">
      <c r="A197" t="s">
        <v>614</v>
      </c>
      <c r="B197">
        <v>195</v>
      </c>
      <c r="C197" t="s">
        <v>45</v>
      </c>
      <c r="D197">
        <v>3</v>
      </c>
      <c r="F197">
        <v>1</v>
      </c>
      <c r="G197" t="s">
        <v>47</v>
      </c>
      <c r="K197" t="s">
        <v>63</v>
      </c>
      <c r="L197">
        <v>1</v>
      </c>
      <c r="N197">
        <v>1</v>
      </c>
      <c r="O197" t="s">
        <v>72</v>
      </c>
      <c r="S197" t="s">
        <v>33</v>
      </c>
      <c r="T197">
        <v>1</v>
      </c>
      <c r="V197">
        <v>1</v>
      </c>
      <c r="W197" t="s">
        <v>46</v>
      </c>
      <c r="AA197" t="s">
        <v>43</v>
      </c>
      <c r="AB197">
        <v>1</v>
      </c>
      <c r="AD197">
        <v>3</v>
      </c>
      <c r="AE197" t="s">
        <v>135</v>
      </c>
      <c r="AF197" t="s">
        <v>136</v>
      </c>
      <c r="AI197">
        <v>5</v>
      </c>
      <c r="AJ197">
        <v>36</v>
      </c>
    </row>
    <row r="198" spans="1:36" x14ac:dyDescent="0.4">
      <c r="A198" t="s">
        <v>615</v>
      </c>
      <c r="B198">
        <v>196</v>
      </c>
      <c r="C198" t="s">
        <v>45</v>
      </c>
      <c r="D198">
        <v>1</v>
      </c>
      <c r="F198">
        <v>1</v>
      </c>
      <c r="G198" t="s">
        <v>47</v>
      </c>
      <c r="K198" t="s">
        <v>38</v>
      </c>
      <c r="L198">
        <v>1</v>
      </c>
      <c r="M198">
        <v>1</v>
      </c>
      <c r="N198">
        <v>1</v>
      </c>
      <c r="O198" t="s">
        <v>67</v>
      </c>
      <c r="P198" t="s">
        <v>70</v>
      </c>
      <c r="S198" t="s">
        <v>33</v>
      </c>
      <c r="T198">
        <v>1</v>
      </c>
      <c r="V198">
        <v>2</v>
      </c>
      <c r="W198" t="s">
        <v>46</v>
      </c>
      <c r="AA198" t="s">
        <v>43</v>
      </c>
      <c r="AB198">
        <v>1</v>
      </c>
      <c r="AD198">
        <v>1</v>
      </c>
      <c r="AE198" t="s">
        <v>135</v>
      </c>
      <c r="AI198">
        <v>2</v>
      </c>
      <c r="AJ198">
        <v>26</v>
      </c>
    </row>
    <row r="199" spans="1:36" x14ac:dyDescent="0.4">
      <c r="A199" t="s">
        <v>616</v>
      </c>
      <c r="B199">
        <v>197</v>
      </c>
      <c r="C199" t="s">
        <v>33</v>
      </c>
      <c r="D199">
        <v>1</v>
      </c>
      <c r="F199">
        <v>1</v>
      </c>
      <c r="G199" t="s">
        <v>46</v>
      </c>
      <c r="K199" t="s">
        <v>43</v>
      </c>
      <c r="L199">
        <v>2</v>
      </c>
      <c r="N199">
        <v>3</v>
      </c>
      <c r="O199" t="s">
        <v>135</v>
      </c>
      <c r="P199" t="s">
        <v>99</v>
      </c>
      <c r="Q199" t="s">
        <v>75</v>
      </c>
      <c r="S199" t="s">
        <v>63</v>
      </c>
      <c r="T199">
        <v>1</v>
      </c>
      <c r="V199">
        <v>1</v>
      </c>
      <c r="W199" t="s">
        <v>72</v>
      </c>
      <c r="AA199" t="s">
        <v>38</v>
      </c>
      <c r="AB199">
        <v>1</v>
      </c>
      <c r="AC199">
        <v>3</v>
      </c>
      <c r="AD199">
        <v>3</v>
      </c>
      <c r="AE199" t="s">
        <v>67</v>
      </c>
      <c r="AF199" t="s">
        <v>70</v>
      </c>
      <c r="AG199" t="s">
        <v>153</v>
      </c>
      <c r="AI199">
        <v>11</v>
      </c>
      <c r="AJ199">
        <v>41</v>
      </c>
    </row>
    <row r="200" spans="1:36" x14ac:dyDescent="0.4">
      <c r="A200" t="s">
        <v>617</v>
      </c>
      <c r="B200">
        <v>198</v>
      </c>
      <c r="C200" t="s">
        <v>33</v>
      </c>
      <c r="D200">
        <v>2</v>
      </c>
      <c r="F200">
        <v>1</v>
      </c>
      <c r="G200" t="s">
        <v>46</v>
      </c>
      <c r="K200" t="s">
        <v>45</v>
      </c>
      <c r="L200">
        <v>3</v>
      </c>
      <c r="N200">
        <v>1</v>
      </c>
      <c r="O200" t="s">
        <v>47</v>
      </c>
      <c r="P200" t="s">
        <v>141</v>
      </c>
      <c r="Q200" t="s">
        <v>142</v>
      </c>
      <c r="S200" t="s">
        <v>43</v>
      </c>
      <c r="T200">
        <v>2</v>
      </c>
      <c r="V200">
        <v>1</v>
      </c>
      <c r="W200" t="s">
        <v>135</v>
      </c>
      <c r="X200" t="s">
        <v>136</v>
      </c>
      <c r="AA200" t="s">
        <v>63</v>
      </c>
      <c r="AB200">
        <v>1</v>
      </c>
      <c r="AD200">
        <v>1</v>
      </c>
      <c r="AE200" t="s">
        <v>72</v>
      </c>
      <c r="AF200" t="s">
        <v>91</v>
      </c>
      <c r="AI200">
        <v>8</v>
      </c>
      <c r="AJ200">
        <v>28</v>
      </c>
    </row>
    <row r="201" spans="1:36" x14ac:dyDescent="0.4">
      <c r="A201" t="s">
        <v>618</v>
      </c>
      <c r="B201">
        <v>199</v>
      </c>
      <c r="C201" t="s">
        <v>33</v>
      </c>
      <c r="D201">
        <v>2</v>
      </c>
      <c r="F201">
        <v>3</v>
      </c>
      <c r="G201" t="s">
        <v>46</v>
      </c>
      <c r="K201" t="s">
        <v>45</v>
      </c>
      <c r="L201">
        <v>2</v>
      </c>
      <c r="N201">
        <v>1</v>
      </c>
      <c r="O201" t="s">
        <v>47</v>
      </c>
      <c r="S201" t="s">
        <v>43</v>
      </c>
      <c r="T201">
        <v>3</v>
      </c>
      <c r="V201">
        <v>1</v>
      </c>
      <c r="W201" t="s">
        <v>135</v>
      </c>
      <c r="AA201" t="s">
        <v>38</v>
      </c>
      <c r="AB201">
        <v>1</v>
      </c>
      <c r="AC201">
        <v>2</v>
      </c>
      <c r="AD201">
        <v>1</v>
      </c>
      <c r="AE201" t="s">
        <v>67</v>
      </c>
      <c r="AF201" t="s">
        <v>70</v>
      </c>
      <c r="AI201">
        <v>8</v>
      </c>
      <c r="AJ201">
        <v>30</v>
      </c>
    </row>
    <row r="202" spans="1:36" x14ac:dyDescent="0.4">
      <c r="A202" t="s">
        <v>619</v>
      </c>
      <c r="B202">
        <v>200</v>
      </c>
      <c r="C202" t="s">
        <v>33</v>
      </c>
      <c r="D202">
        <v>3</v>
      </c>
      <c r="F202">
        <v>2</v>
      </c>
      <c r="G202" t="s">
        <v>46</v>
      </c>
      <c r="K202" t="s">
        <v>45</v>
      </c>
      <c r="L202">
        <v>2</v>
      </c>
      <c r="N202">
        <v>1</v>
      </c>
      <c r="O202" t="s">
        <v>47</v>
      </c>
      <c r="S202" t="s">
        <v>63</v>
      </c>
      <c r="T202">
        <v>1</v>
      </c>
      <c r="V202">
        <v>1</v>
      </c>
      <c r="W202" t="s">
        <v>72</v>
      </c>
      <c r="X202" t="s">
        <v>146</v>
      </c>
      <c r="AA202" t="s">
        <v>38</v>
      </c>
      <c r="AB202">
        <v>1</v>
      </c>
      <c r="AC202">
        <v>2</v>
      </c>
      <c r="AD202">
        <v>2</v>
      </c>
      <c r="AE202" t="s">
        <v>67</v>
      </c>
      <c r="AI202">
        <v>7</v>
      </c>
      <c r="AJ202">
        <v>26</v>
      </c>
    </row>
    <row r="203" spans="1:36" x14ac:dyDescent="0.4">
      <c r="A203" t="s">
        <v>620</v>
      </c>
      <c r="B203">
        <v>201</v>
      </c>
      <c r="C203" t="s">
        <v>33</v>
      </c>
      <c r="D203">
        <v>1</v>
      </c>
      <c r="F203">
        <v>2</v>
      </c>
      <c r="G203" t="s">
        <v>46</v>
      </c>
      <c r="K203" t="s">
        <v>63</v>
      </c>
      <c r="L203">
        <v>2</v>
      </c>
      <c r="N203">
        <v>2</v>
      </c>
      <c r="O203" t="s">
        <v>72</v>
      </c>
      <c r="P203" t="s">
        <v>95</v>
      </c>
      <c r="Q203" t="s">
        <v>147</v>
      </c>
      <c r="R203" t="s">
        <v>151</v>
      </c>
      <c r="S203" t="s">
        <v>43</v>
      </c>
      <c r="T203">
        <v>2</v>
      </c>
      <c r="V203">
        <v>1</v>
      </c>
      <c r="W203" t="s">
        <v>135</v>
      </c>
      <c r="X203" t="s">
        <v>99</v>
      </c>
      <c r="AA203" t="s">
        <v>45</v>
      </c>
      <c r="AB203">
        <v>3</v>
      </c>
      <c r="AD203">
        <v>1</v>
      </c>
      <c r="AE203" t="s">
        <v>47</v>
      </c>
      <c r="AI203">
        <v>10</v>
      </c>
      <c r="AJ203">
        <v>41</v>
      </c>
    </row>
    <row r="204" spans="1:36" x14ac:dyDescent="0.4">
      <c r="A204" t="s">
        <v>621</v>
      </c>
      <c r="B204">
        <v>202</v>
      </c>
      <c r="C204" t="s">
        <v>43</v>
      </c>
      <c r="D204">
        <v>2</v>
      </c>
      <c r="F204">
        <v>1</v>
      </c>
      <c r="G204" t="s">
        <v>135</v>
      </c>
      <c r="H204" t="s">
        <v>99</v>
      </c>
      <c r="K204" t="s">
        <v>38</v>
      </c>
      <c r="L204">
        <v>2</v>
      </c>
      <c r="M204">
        <v>1</v>
      </c>
      <c r="N204">
        <v>1</v>
      </c>
      <c r="O204" t="s">
        <v>67</v>
      </c>
      <c r="P204" t="s">
        <v>70</v>
      </c>
      <c r="Q204" t="s">
        <v>41</v>
      </c>
      <c r="S204" t="s">
        <v>33</v>
      </c>
      <c r="T204">
        <v>1</v>
      </c>
      <c r="V204">
        <v>1</v>
      </c>
      <c r="W204" t="s">
        <v>46</v>
      </c>
      <c r="AA204" t="s">
        <v>63</v>
      </c>
      <c r="AB204">
        <v>2</v>
      </c>
      <c r="AD204">
        <v>1</v>
      </c>
      <c r="AE204" t="s">
        <v>72</v>
      </c>
      <c r="AF204" t="s">
        <v>146</v>
      </c>
      <c r="AG204" t="s">
        <v>104</v>
      </c>
      <c r="AI204">
        <v>8</v>
      </c>
      <c r="AJ204">
        <v>48</v>
      </c>
    </row>
    <row r="205" spans="1:36" x14ac:dyDescent="0.4">
      <c r="A205" t="s">
        <v>622</v>
      </c>
      <c r="B205">
        <v>203</v>
      </c>
      <c r="C205" t="s">
        <v>45</v>
      </c>
      <c r="D205">
        <v>2</v>
      </c>
      <c r="F205">
        <v>1</v>
      </c>
      <c r="G205" t="s">
        <v>47</v>
      </c>
      <c r="K205" t="s">
        <v>38</v>
      </c>
      <c r="L205">
        <v>2</v>
      </c>
      <c r="M205">
        <v>1</v>
      </c>
      <c r="N205">
        <v>1</v>
      </c>
      <c r="O205" t="s">
        <v>152</v>
      </c>
      <c r="S205" t="s">
        <v>33</v>
      </c>
      <c r="T205">
        <v>1</v>
      </c>
      <c r="V205">
        <v>1</v>
      </c>
      <c r="W205" t="s">
        <v>46</v>
      </c>
      <c r="AA205" t="s">
        <v>63</v>
      </c>
      <c r="AB205">
        <v>1</v>
      </c>
      <c r="AD205">
        <v>1</v>
      </c>
      <c r="AE205" t="s">
        <v>72</v>
      </c>
      <c r="AI205">
        <v>2</v>
      </c>
      <c r="AJ205">
        <v>22</v>
      </c>
    </row>
    <row r="206" spans="1:36" x14ac:dyDescent="0.4">
      <c r="A206" t="s">
        <v>623</v>
      </c>
      <c r="B206">
        <v>204</v>
      </c>
      <c r="C206" t="s">
        <v>43</v>
      </c>
      <c r="D206">
        <v>1</v>
      </c>
      <c r="F206">
        <v>1</v>
      </c>
      <c r="G206" t="s">
        <v>135</v>
      </c>
      <c r="K206" t="s">
        <v>45</v>
      </c>
      <c r="L206">
        <v>3</v>
      </c>
      <c r="N206">
        <v>1</v>
      </c>
      <c r="O206" t="s">
        <v>47</v>
      </c>
      <c r="S206" t="s">
        <v>33</v>
      </c>
      <c r="T206">
        <v>2</v>
      </c>
      <c r="V206">
        <v>1</v>
      </c>
      <c r="W206" t="s">
        <v>46</v>
      </c>
      <c r="X206" t="s">
        <v>130</v>
      </c>
      <c r="Y206" t="s">
        <v>132</v>
      </c>
      <c r="AA206" t="s">
        <v>38</v>
      </c>
      <c r="AB206">
        <v>2</v>
      </c>
      <c r="AC206">
        <v>1</v>
      </c>
      <c r="AD206">
        <v>3</v>
      </c>
      <c r="AE206" t="s">
        <v>67</v>
      </c>
      <c r="AI206">
        <v>8</v>
      </c>
      <c r="AJ206">
        <v>43</v>
      </c>
    </row>
    <row r="207" spans="1:36" x14ac:dyDescent="0.4">
      <c r="A207" t="s">
        <v>624</v>
      </c>
      <c r="B207">
        <v>205</v>
      </c>
      <c r="C207" t="s">
        <v>33</v>
      </c>
      <c r="D207">
        <v>2</v>
      </c>
      <c r="F207">
        <v>1</v>
      </c>
      <c r="G207" t="s">
        <v>46</v>
      </c>
      <c r="H207" t="s">
        <v>66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135</v>
      </c>
      <c r="X207" t="s">
        <v>99</v>
      </c>
      <c r="AA207" t="s">
        <v>63</v>
      </c>
      <c r="AB207">
        <v>2</v>
      </c>
      <c r="AD207">
        <v>1</v>
      </c>
      <c r="AE207" t="s">
        <v>72</v>
      </c>
      <c r="AI207">
        <v>5</v>
      </c>
      <c r="AJ207">
        <v>30</v>
      </c>
    </row>
    <row r="208" spans="1:36" x14ac:dyDescent="0.4">
      <c r="A208" s="4" t="s">
        <v>625</v>
      </c>
      <c r="B208">
        <v>206</v>
      </c>
      <c r="C208" t="s">
        <v>45</v>
      </c>
      <c r="D208">
        <v>3</v>
      </c>
      <c r="F208">
        <v>3</v>
      </c>
      <c r="G208" t="s">
        <v>47</v>
      </c>
      <c r="K208" t="s">
        <v>63</v>
      </c>
      <c r="L208">
        <v>1</v>
      </c>
      <c r="N208">
        <v>1</v>
      </c>
      <c r="O208" t="s">
        <v>72</v>
      </c>
      <c r="S208" t="s">
        <v>33</v>
      </c>
      <c r="T208">
        <v>2</v>
      </c>
      <c r="V208">
        <v>2</v>
      </c>
      <c r="W208" t="s">
        <v>46</v>
      </c>
      <c r="AA208" t="s">
        <v>38</v>
      </c>
      <c r="AB208">
        <v>3</v>
      </c>
      <c r="AC208">
        <v>2</v>
      </c>
      <c r="AD208">
        <v>3</v>
      </c>
      <c r="AE208" t="s">
        <v>67</v>
      </c>
      <c r="AI208">
        <v>11</v>
      </c>
      <c r="AJ208">
        <v>42</v>
      </c>
    </row>
    <row r="209" spans="1:36" x14ac:dyDescent="0.4">
      <c r="A209" t="s">
        <v>626</v>
      </c>
      <c r="B209">
        <v>207</v>
      </c>
      <c r="C209" t="s">
        <v>43</v>
      </c>
      <c r="D209">
        <v>1</v>
      </c>
      <c r="F209">
        <v>1</v>
      </c>
      <c r="G209" t="s">
        <v>135</v>
      </c>
      <c r="H209" t="s">
        <v>99</v>
      </c>
      <c r="K209" t="s">
        <v>45</v>
      </c>
      <c r="L209">
        <v>2</v>
      </c>
      <c r="N209">
        <v>1</v>
      </c>
      <c r="O209" t="s">
        <v>47</v>
      </c>
      <c r="S209" t="s">
        <v>63</v>
      </c>
      <c r="T209">
        <v>1</v>
      </c>
      <c r="V209">
        <v>1</v>
      </c>
      <c r="W209" t="s">
        <v>72</v>
      </c>
      <c r="AA209" t="s">
        <v>38</v>
      </c>
      <c r="AB209">
        <v>1</v>
      </c>
      <c r="AC209">
        <v>1</v>
      </c>
      <c r="AD209">
        <v>1</v>
      </c>
      <c r="AE209" t="s">
        <v>67</v>
      </c>
      <c r="AI209">
        <v>2</v>
      </c>
      <c r="AJ209">
        <v>23</v>
      </c>
    </row>
    <row r="210" spans="1:36" x14ac:dyDescent="0.4">
      <c r="A210" t="s">
        <v>627</v>
      </c>
      <c r="B210">
        <v>208</v>
      </c>
      <c r="C210" t="s">
        <v>45</v>
      </c>
      <c r="D210">
        <v>2</v>
      </c>
      <c r="F210">
        <v>3</v>
      </c>
      <c r="G210" t="s">
        <v>47</v>
      </c>
      <c r="K210" t="s">
        <v>38</v>
      </c>
      <c r="L210">
        <v>1</v>
      </c>
      <c r="M210">
        <v>2</v>
      </c>
      <c r="N210">
        <v>1</v>
      </c>
      <c r="O210" t="s">
        <v>152</v>
      </c>
      <c r="P210" t="s">
        <v>40</v>
      </c>
      <c r="S210" t="s">
        <v>43</v>
      </c>
      <c r="T210">
        <v>2</v>
      </c>
      <c r="V210">
        <v>1</v>
      </c>
      <c r="W210" t="s">
        <v>135</v>
      </c>
      <c r="AA210" t="s">
        <v>63</v>
      </c>
      <c r="AB210">
        <v>3</v>
      </c>
      <c r="AD210">
        <v>1</v>
      </c>
      <c r="AE210" t="s">
        <v>72</v>
      </c>
      <c r="AI210">
        <v>8</v>
      </c>
      <c r="AJ210">
        <v>30</v>
      </c>
    </row>
    <row r="211" spans="1:36" x14ac:dyDescent="0.4">
      <c r="A211" t="s">
        <v>628</v>
      </c>
      <c r="B211">
        <v>209</v>
      </c>
      <c r="C211" t="s">
        <v>45</v>
      </c>
      <c r="D211">
        <v>3</v>
      </c>
      <c r="F211">
        <v>2</v>
      </c>
      <c r="G211" t="s">
        <v>47</v>
      </c>
      <c r="H211" t="s">
        <v>92</v>
      </c>
      <c r="K211" t="s">
        <v>63</v>
      </c>
      <c r="L211">
        <v>1</v>
      </c>
      <c r="N211">
        <v>1</v>
      </c>
      <c r="O211" t="s">
        <v>72</v>
      </c>
      <c r="S211" t="s">
        <v>43</v>
      </c>
      <c r="T211">
        <v>1</v>
      </c>
      <c r="V211">
        <v>1</v>
      </c>
      <c r="W211" t="s">
        <v>135</v>
      </c>
      <c r="AA211" t="s">
        <v>38</v>
      </c>
      <c r="AB211">
        <v>3</v>
      </c>
      <c r="AC211">
        <v>2</v>
      </c>
      <c r="AD211">
        <v>2</v>
      </c>
      <c r="AE211" t="s">
        <v>67</v>
      </c>
      <c r="AI211">
        <v>8</v>
      </c>
      <c r="AJ211">
        <v>28</v>
      </c>
    </row>
  </sheetData>
  <phoneticPr fontId="3" type="noConversion"/>
  <conditionalFormatting sqref="B1:B1048576">
    <cfRule type="duplicateValues" dxfId="43" priority="1"/>
  </conditionalFormatting>
  <conditionalFormatting sqref="A2:B211">
    <cfRule type="duplicateValues" dxfId="42" priority="4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S13" sqref="S13"/>
    </sheetView>
  </sheetViews>
  <sheetFormatPr defaultRowHeight="14.6" x14ac:dyDescent="0.4"/>
  <cols>
    <col min="1" max="1" width="10.3828125" bestFit="1" customWidth="1"/>
    <col min="2" max="2" width="12.61328125" hidden="1" customWidth="1"/>
    <col min="3" max="3" width="10.3828125" bestFit="1" customWidth="1"/>
    <col min="4" max="4" width="12.61328125" hidden="1" customWidth="1"/>
    <col min="5" max="5" width="10.3828125" bestFit="1" customWidth="1"/>
    <col min="6" max="6" width="12.61328125" hidden="1" customWidth="1"/>
    <col min="7" max="7" width="10.3828125" bestFit="1" customWidth="1"/>
    <col min="8" max="8" width="13.61328125" bestFit="1" customWidth="1"/>
    <col min="9" max="9" width="8.765625" bestFit="1" customWidth="1"/>
    <col min="11" max="11" width="10.3828125" bestFit="1" customWidth="1"/>
    <col min="12" max="12" width="8.765625" bestFit="1" customWidth="1"/>
    <col min="13" max="13" width="6.84375" bestFit="1" customWidth="1"/>
    <col min="14" max="14" width="10.07421875" bestFit="1" customWidth="1"/>
    <col min="16" max="16" width="25.15234375" bestFit="1" customWidth="1"/>
    <col min="17" max="17" width="4.3828125" bestFit="1" customWidth="1"/>
    <col min="19" max="19" width="9.3046875" bestFit="1" customWidth="1"/>
  </cols>
  <sheetData>
    <row r="1" spans="1:17" ht="15" thickBot="1" x14ac:dyDescent="0.45">
      <c r="A1" s="41" t="s">
        <v>78</v>
      </c>
      <c r="B1" s="42"/>
      <c r="C1" s="42"/>
      <c r="D1" s="42"/>
      <c r="E1" s="42"/>
      <c r="F1" s="42"/>
      <c r="G1" s="42"/>
      <c r="H1" s="42"/>
      <c r="I1" s="43"/>
      <c r="K1" s="41" t="s">
        <v>82</v>
      </c>
      <c r="L1" s="42"/>
      <c r="M1" s="42"/>
      <c r="N1" s="43"/>
      <c r="P1" s="5" t="s">
        <v>157</v>
      </c>
      <c r="Q1" s="36">
        <f>MIN(Scenario4[crystals])</f>
        <v>0</v>
      </c>
    </row>
    <row r="2" spans="1:17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397</v>
      </c>
      <c r="G2" t="s">
        <v>62</v>
      </c>
      <c r="H2" t="s">
        <v>751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5" t="s">
        <v>107</v>
      </c>
      <c r="Q2" s="36">
        <f>AVERAGE(Scenario4[crystals])</f>
        <v>0</v>
      </c>
    </row>
    <row r="3" spans="1:17" ht="15" thickBot="1" x14ac:dyDescent="0.45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3</v>
      </c>
      <c r="N3" s="3">
        <f>IF(ScenarioTeams4[[#This Row],[battles]],ScenarioTeams4[[#This Row],[wins]]/ScenarioTeams4[[#This Row],[battles]],0)</f>
        <v>8.5714285714285715E-2</v>
      </c>
      <c r="P3" s="5" t="s">
        <v>159</v>
      </c>
      <c r="Q3" s="36">
        <f>MAX(Scenario4[crystals])</f>
        <v>0</v>
      </c>
    </row>
    <row r="4" spans="1:17" ht="15" thickBot="1" x14ac:dyDescent="0.45">
      <c r="A4" t="s">
        <v>53</v>
      </c>
      <c r="B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 s="17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4" s="3">
        <f>IF(ScenarioTeams4[[#This Row],[battles]],ScenarioTeams4[[#This Row],[wins]]/ScenarioTeams4[[#This Row],[battles]],0)</f>
        <v>0.31428571428571428</v>
      </c>
      <c r="Q4" s="8"/>
    </row>
    <row r="5" spans="1:17" ht="15" thickBot="1" x14ac:dyDescent="0.45">
      <c r="A5" t="s">
        <v>53</v>
      </c>
      <c r="B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" s="17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2</v>
      </c>
      <c r="N5" s="3">
        <f>IF(ScenarioTeams4[[#This Row],[battles]],ScenarioTeams4[[#This Row],[wins]]/ScenarioTeams4[[#This Row],[battles]],0)</f>
        <v>5.7142857142857141E-2</v>
      </c>
      <c r="P5" s="5" t="s">
        <v>158</v>
      </c>
      <c r="Q5" s="36">
        <f>MIN(Scenario4[turns])</f>
        <v>15</v>
      </c>
    </row>
    <row r="6" spans="1:17" ht="15" thickBot="1" x14ac:dyDescent="0.45">
      <c r="A6" t="s">
        <v>53</v>
      </c>
      <c r="B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 s="17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14</v>
      </c>
      <c r="N6" s="3">
        <f>IF(ScenarioTeams4[[#This Row],[battles]],ScenarioTeams4[[#This Row],[wins]]/ScenarioTeams4[[#This Row],[battles]],0)</f>
        <v>0.4</v>
      </c>
      <c r="P6" s="6" t="s">
        <v>108</v>
      </c>
      <c r="Q6" s="37">
        <f>AVERAGE(Scenario4[turns])</f>
        <v>40.671428571428571</v>
      </c>
    </row>
    <row r="7" spans="1:17" ht="15" thickBot="1" x14ac:dyDescent="0.45">
      <c r="A7" t="s">
        <v>53</v>
      </c>
      <c r="B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 s="1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7" s="3">
        <f>IF(ScenarioTeams4[[#This Row],[battles]],ScenarioTeams4[[#This Row],[wins]]/ScenarioTeams4[[#This Row],[battles]],0)</f>
        <v>0.34285714285714286</v>
      </c>
      <c r="P7" s="6" t="s">
        <v>160</v>
      </c>
      <c r="Q7" s="37">
        <f>MAX(Scenario4[turns])</f>
        <v>79</v>
      </c>
    </row>
    <row r="8" spans="1:17" ht="15" thickBot="1" x14ac:dyDescent="0.45">
      <c r="A8" t="s">
        <v>53</v>
      </c>
      <c r="B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8" s="17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8" s="3">
        <f>IF(ScenarioTeams4[[#This Row],[battles]],ScenarioTeams4[[#This Row],[wins]]/ScenarioTeams4[[#This Row],[battles]],0)</f>
        <v>0.22857142857142856</v>
      </c>
    </row>
    <row r="9" spans="1:17" ht="15" thickBot="1" x14ac:dyDescent="0.45">
      <c r="A9" t="s">
        <v>53</v>
      </c>
      <c r="B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 s="17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9" s="3">
        <f>IF(ScenarioTeams4[[#This Row],[battles]],ScenarioTeams4[[#This Row],[wins]]/ScenarioTeams4[[#This Row],[battles]],0)</f>
        <v>0.31428571428571428</v>
      </c>
      <c r="P9" s="35" t="s">
        <v>395</v>
      </c>
      <c r="Q9" s="36">
        <f>120000*$Q$6/1000/60</f>
        <v>81.342857142857142</v>
      </c>
    </row>
    <row r="10" spans="1:17" ht="15" thickBot="1" x14ac:dyDescent="0.45">
      <c r="A10" t="s">
        <v>53</v>
      </c>
      <c r="B1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 s="17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9</v>
      </c>
      <c r="N10" s="3">
        <f>IF(ScenarioTeams4[[#This Row],[battles]],ScenarioTeams4[[#This Row],[wins]]/ScenarioTeams4[[#This Row],[battles]],0)</f>
        <v>0.25714285714285712</v>
      </c>
      <c r="P10" s="34" t="s">
        <v>396</v>
      </c>
      <c r="Q10" s="7">
        <f>Q9*COUNTA(ScenarioStat4[hero-1])/60/24*2</f>
        <v>7.9083333333333341</v>
      </c>
    </row>
    <row r="11" spans="1:17" x14ac:dyDescent="0.4">
      <c r="A11" t="s">
        <v>53</v>
      </c>
      <c r="B1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 s="17">
        <f>ScenarioStat4[[#This Row],[team-1-win]]+ScenarioStat4[[#This Row],[team-2-win]]+ScenarioStat4[[#This Row],[team-3-win]]+ScenarioStat4[[#This Row],[team-4-win]]</f>
        <v>1</v>
      </c>
    </row>
    <row r="12" spans="1:17" x14ac:dyDescent="0.4">
      <c r="A12" t="s">
        <v>53</v>
      </c>
      <c r="B1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 s="17">
        <f>ScenarioStat4[[#This Row],[team-1-win]]+ScenarioStat4[[#This Row],[team-2-win]]+ScenarioStat4[[#This Row],[team-3-win]]+ScenarioStat4[[#This Row],[team-4-win]]</f>
        <v>1</v>
      </c>
    </row>
    <row r="13" spans="1:17" x14ac:dyDescent="0.4">
      <c r="A13" t="s">
        <v>53</v>
      </c>
      <c r="B1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3" s="17">
        <f>ScenarioStat4[[#This Row],[team-1-win]]+ScenarioStat4[[#This Row],[team-2-win]]+ScenarioStat4[[#This Row],[team-3-win]]+ScenarioStat4[[#This Row],[team-4-win]]</f>
        <v>1</v>
      </c>
    </row>
    <row r="14" spans="1:17" x14ac:dyDescent="0.4">
      <c r="A14" t="s">
        <v>53</v>
      </c>
      <c r="B1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 s="17">
        <f>ScenarioStat4[[#This Row],[team-1-win]]+ScenarioStat4[[#This Row],[team-2-win]]+ScenarioStat4[[#This Row],[team-3-win]]+ScenarioStat4[[#This Row],[team-4-win]]</f>
        <v>1</v>
      </c>
    </row>
    <row r="15" spans="1:17" x14ac:dyDescent="0.4">
      <c r="A15" t="s">
        <v>53</v>
      </c>
      <c r="B1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 s="17">
        <f>ScenarioStat4[[#This Row],[team-1-win]]+ScenarioStat4[[#This Row],[team-2-win]]+ScenarioStat4[[#This Row],[team-3-win]]+ScenarioStat4[[#This Row],[team-4-win]]</f>
        <v>1</v>
      </c>
    </row>
    <row r="16" spans="1:17" x14ac:dyDescent="0.4">
      <c r="A16" t="s">
        <v>53</v>
      </c>
      <c r="B16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6" t="s">
        <v>56</v>
      </c>
      <c r="D1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 s="17">
        <f>ScenarioStat4[[#This Row],[team-1-win]]+ScenarioStat4[[#This Row],[team-2-win]]+ScenarioStat4[[#This Row],[team-3-win]]+ScenarioStat4[[#This Row],[team-4-win]]</f>
        <v>1</v>
      </c>
    </row>
    <row r="17" spans="1:9" x14ac:dyDescent="0.4">
      <c r="A17" t="s">
        <v>53</v>
      </c>
      <c r="B1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 s="17">
        <f>ScenarioStat4[[#This Row],[team-1-win]]+ScenarioStat4[[#This Row],[team-2-win]]+ScenarioStat4[[#This Row],[team-3-win]]+ScenarioStat4[[#This Row],[team-4-win]]</f>
        <v>1</v>
      </c>
    </row>
    <row r="18" spans="1:9" x14ac:dyDescent="0.4">
      <c r="A18" t="s">
        <v>53</v>
      </c>
      <c r="B1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8" s="17">
        <f>ScenarioStat4[[#This Row],[team-1-win]]+ScenarioStat4[[#This Row],[team-2-win]]+ScenarioStat4[[#This Row],[team-3-win]]+ScenarioStat4[[#This Row],[team-4-win]]</f>
        <v>1</v>
      </c>
    </row>
    <row r="19" spans="1:9" x14ac:dyDescent="0.4">
      <c r="A19" t="s">
        <v>53</v>
      </c>
      <c r="B1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9" s="17">
        <f>ScenarioStat4[[#This Row],[team-1-win]]+ScenarioStat4[[#This Row],[team-2-win]]+ScenarioStat4[[#This Row],[team-3-win]]+ScenarioStat4[[#This Row],[team-4-win]]</f>
        <v>1</v>
      </c>
    </row>
    <row r="20" spans="1:9" x14ac:dyDescent="0.4">
      <c r="A20" t="s">
        <v>53</v>
      </c>
      <c r="B20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0" t="s">
        <v>48</v>
      </c>
      <c r="D2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 s="17">
        <f>ScenarioStat4[[#This Row],[team-1-win]]+ScenarioStat4[[#This Row],[team-2-win]]+ScenarioStat4[[#This Row],[team-3-win]]+ScenarioStat4[[#This Row],[team-4-win]]</f>
        <v>1</v>
      </c>
    </row>
    <row r="21" spans="1:9" x14ac:dyDescent="0.4">
      <c r="A21" t="s">
        <v>53</v>
      </c>
      <c r="B2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1" s="17">
        <f>ScenarioStat4[[#This Row],[team-1-win]]+ScenarioStat4[[#This Row],[team-2-win]]+ScenarioStat4[[#This Row],[team-3-win]]+ScenarioStat4[[#This Row],[team-4-win]]</f>
        <v>1</v>
      </c>
    </row>
    <row r="22" spans="1:9" x14ac:dyDescent="0.4">
      <c r="A22" t="s">
        <v>53</v>
      </c>
      <c r="B2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2" s="17">
        <f>ScenarioStat4[[#This Row],[team-1-win]]+ScenarioStat4[[#This Row],[team-2-win]]+ScenarioStat4[[#This Row],[team-3-win]]+ScenarioStat4[[#This Row],[team-4-win]]</f>
        <v>1</v>
      </c>
    </row>
    <row r="23" spans="1:9" x14ac:dyDescent="0.4">
      <c r="A23" t="s">
        <v>53</v>
      </c>
      <c r="B2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 s="17">
        <f>ScenarioStat4[[#This Row],[team-1-win]]+ScenarioStat4[[#This Row],[team-2-win]]+ScenarioStat4[[#This Row],[team-3-win]]+ScenarioStat4[[#This Row],[team-4-win]]</f>
        <v>1</v>
      </c>
    </row>
    <row r="24" spans="1:9" x14ac:dyDescent="0.4">
      <c r="A24" t="s">
        <v>53</v>
      </c>
      <c r="B2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 s="17">
        <f>ScenarioStat4[[#This Row],[team-1-win]]+ScenarioStat4[[#This Row],[team-2-win]]+ScenarioStat4[[#This Row],[team-3-win]]+ScenarioStat4[[#This Row],[team-4-win]]</f>
        <v>1</v>
      </c>
    </row>
    <row r="25" spans="1:9" x14ac:dyDescent="0.4">
      <c r="A25" t="s">
        <v>53</v>
      </c>
      <c r="B2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 s="17">
        <f>ScenarioStat4[[#This Row],[team-1-win]]+ScenarioStat4[[#This Row],[team-2-win]]+ScenarioStat4[[#This Row],[team-3-win]]+ScenarioStat4[[#This Row],[team-4-win]]</f>
        <v>1</v>
      </c>
    </row>
    <row r="26" spans="1:9" x14ac:dyDescent="0.4">
      <c r="A26" t="s">
        <v>53</v>
      </c>
      <c r="B2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6" s="17">
        <f>ScenarioStat4[[#This Row],[team-1-win]]+ScenarioStat4[[#This Row],[team-2-win]]+ScenarioStat4[[#This Row],[team-3-win]]+ScenarioStat4[[#This Row],[team-4-win]]</f>
        <v>1</v>
      </c>
    </row>
    <row r="27" spans="1:9" x14ac:dyDescent="0.4">
      <c r="A27" t="s">
        <v>53</v>
      </c>
      <c r="B2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 s="17">
        <f>ScenarioStat4[[#This Row],[team-1-win]]+ScenarioStat4[[#This Row],[team-2-win]]+ScenarioStat4[[#This Row],[team-3-win]]+ScenarioStat4[[#This Row],[team-4-win]]</f>
        <v>1</v>
      </c>
    </row>
    <row r="28" spans="1:9" x14ac:dyDescent="0.4">
      <c r="A28" t="s">
        <v>53</v>
      </c>
      <c r="B2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8" s="17">
        <f>ScenarioStat4[[#This Row],[team-1-win]]+ScenarioStat4[[#This Row],[team-2-win]]+ScenarioStat4[[#This Row],[team-3-win]]+ScenarioStat4[[#This Row],[team-4-win]]</f>
        <v>1</v>
      </c>
    </row>
    <row r="29" spans="1:9" x14ac:dyDescent="0.4">
      <c r="A29" t="s">
        <v>53</v>
      </c>
      <c r="B2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 s="17">
        <f>ScenarioStat4[[#This Row],[team-1-win]]+ScenarioStat4[[#This Row],[team-2-win]]+ScenarioStat4[[#This Row],[team-3-win]]+ScenarioStat4[[#This Row],[team-4-win]]</f>
        <v>1</v>
      </c>
    </row>
    <row r="30" spans="1:9" x14ac:dyDescent="0.4">
      <c r="A30" t="s">
        <v>53</v>
      </c>
      <c r="B3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 s="17">
        <f>ScenarioStat4[[#This Row],[team-1-win]]+ScenarioStat4[[#This Row],[team-2-win]]+ScenarioStat4[[#This Row],[team-3-win]]+ScenarioStat4[[#This Row],[team-4-win]]</f>
        <v>1</v>
      </c>
    </row>
    <row r="31" spans="1:9" x14ac:dyDescent="0.4">
      <c r="A31" t="s">
        <v>53</v>
      </c>
      <c r="B3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1" s="17">
        <f>ScenarioStat4[[#This Row],[team-1-win]]+ScenarioStat4[[#This Row],[team-2-win]]+ScenarioStat4[[#This Row],[team-3-win]]+ScenarioStat4[[#This Row],[team-4-win]]</f>
        <v>1</v>
      </c>
    </row>
    <row r="32" spans="1:9" x14ac:dyDescent="0.4">
      <c r="A32" t="s">
        <v>53</v>
      </c>
      <c r="B3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 s="17">
        <f>ScenarioStat4[[#This Row],[team-1-win]]+ScenarioStat4[[#This Row],[team-2-win]]+ScenarioStat4[[#This Row],[team-3-win]]+ScenarioStat4[[#This Row],[team-4-win]]</f>
        <v>1</v>
      </c>
    </row>
    <row r="33" spans="1:9" x14ac:dyDescent="0.4">
      <c r="A33" t="s">
        <v>53</v>
      </c>
      <c r="B3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 s="17">
        <f>ScenarioStat4[[#This Row],[team-1-win]]+ScenarioStat4[[#This Row],[team-2-win]]+ScenarioStat4[[#This Row],[team-3-win]]+ScenarioStat4[[#This Row],[team-4-win]]</f>
        <v>1</v>
      </c>
    </row>
    <row r="34" spans="1:9" x14ac:dyDescent="0.4">
      <c r="A34" t="s">
        <v>53</v>
      </c>
      <c r="B3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4" s="17">
        <f>ScenarioStat4[[#This Row],[team-1-win]]+ScenarioStat4[[#This Row],[team-2-win]]+ScenarioStat4[[#This Row],[team-3-win]]+ScenarioStat4[[#This Row],[team-4-win]]</f>
        <v>1</v>
      </c>
    </row>
    <row r="35" spans="1:9" x14ac:dyDescent="0.4">
      <c r="A35" t="s">
        <v>53</v>
      </c>
      <c r="B3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5" s="17">
        <f>ScenarioStat4[[#This Row],[team-1-win]]+ScenarioStat4[[#This Row],[team-2-win]]+ScenarioStat4[[#This Row],[team-3-win]]+ScenarioStat4[[#This Row],[team-4-win]]</f>
        <v>1</v>
      </c>
    </row>
    <row r="36" spans="1:9" x14ac:dyDescent="0.4">
      <c r="A36" t="s">
        <v>53</v>
      </c>
      <c r="B36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6" t="s">
        <v>43</v>
      </c>
      <c r="D3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 s="17">
        <f>ScenarioStat4[[#This Row],[team-1-win]]+ScenarioStat4[[#This Row],[team-2-win]]+ScenarioStat4[[#This Row],[team-3-win]]+ScenarioStat4[[#This Row],[team-4-win]]</f>
        <v>1</v>
      </c>
    </row>
    <row r="37" spans="1:9" x14ac:dyDescent="0.4">
      <c r="A37" t="s">
        <v>53</v>
      </c>
      <c r="B3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7" s="17">
        <f>ScenarioStat4[[#This Row],[team-1-win]]+ScenarioStat4[[#This Row],[team-2-win]]+ScenarioStat4[[#This Row],[team-3-win]]+ScenarioStat4[[#This Row],[team-4-win]]</f>
        <v>1</v>
      </c>
    </row>
    <row r="38" spans="1:9" x14ac:dyDescent="0.4">
      <c r="A38" t="s">
        <v>56</v>
      </c>
      <c r="B38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8" t="s">
        <v>48</v>
      </c>
      <c r="D3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 s="17">
        <f>ScenarioStat4[[#This Row],[team-1-win]]+ScenarioStat4[[#This Row],[team-2-win]]+ScenarioStat4[[#This Row],[team-3-win]]+ScenarioStat4[[#This Row],[team-4-win]]</f>
        <v>1</v>
      </c>
    </row>
    <row r="39" spans="1:9" x14ac:dyDescent="0.4">
      <c r="A39" t="s">
        <v>56</v>
      </c>
      <c r="B39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9" t="s">
        <v>48</v>
      </c>
      <c r="D3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 s="17">
        <f>ScenarioStat4[[#This Row],[team-1-win]]+ScenarioStat4[[#This Row],[team-2-win]]+ScenarioStat4[[#This Row],[team-3-win]]+ScenarioStat4[[#This Row],[team-4-win]]</f>
        <v>1</v>
      </c>
    </row>
    <row r="40" spans="1:9" x14ac:dyDescent="0.4">
      <c r="A40" t="s">
        <v>56</v>
      </c>
      <c r="B4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 s="17">
        <f>ScenarioStat4[[#This Row],[team-1-win]]+ScenarioStat4[[#This Row],[team-2-win]]+ScenarioStat4[[#This Row],[team-3-win]]+ScenarioStat4[[#This Row],[team-4-win]]</f>
        <v>1</v>
      </c>
    </row>
    <row r="41" spans="1:9" x14ac:dyDescent="0.4">
      <c r="A41" t="s">
        <v>56</v>
      </c>
      <c r="B4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 s="17">
        <f>ScenarioStat4[[#This Row],[team-1-win]]+ScenarioStat4[[#This Row],[team-2-win]]+ScenarioStat4[[#This Row],[team-3-win]]+ScenarioStat4[[#This Row],[team-4-win]]</f>
        <v>1</v>
      </c>
    </row>
    <row r="42" spans="1:9" x14ac:dyDescent="0.4">
      <c r="A42" t="s">
        <v>56</v>
      </c>
      <c r="B4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 s="17">
        <f>ScenarioStat4[[#This Row],[team-1-win]]+ScenarioStat4[[#This Row],[team-2-win]]+ScenarioStat4[[#This Row],[team-3-win]]+ScenarioStat4[[#This Row],[team-4-win]]</f>
        <v>1</v>
      </c>
    </row>
    <row r="43" spans="1:9" x14ac:dyDescent="0.4">
      <c r="A43" t="s">
        <v>56</v>
      </c>
      <c r="B4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3" s="17">
        <f>ScenarioStat4[[#This Row],[team-1-win]]+ScenarioStat4[[#This Row],[team-2-win]]+ScenarioStat4[[#This Row],[team-3-win]]+ScenarioStat4[[#This Row],[team-4-win]]</f>
        <v>1</v>
      </c>
    </row>
    <row r="44" spans="1:9" x14ac:dyDescent="0.4">
      <c r="A44" t="s">
        <v>56</v>
      </c>
      <c r="B4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 s="17">
        <f>ScenarioStat4[[#This Row],[team-1-win]]+ScenarioStat4[[#This Row],[team-2-win]]+ScenarioStat4[[#This Row],[team-3-win]]+ScenarioStat4[[#This Row],[team-4-win]]</f>
        <v>1</v>
      </c>
    </row>
    <row r="45" spans="1:9" x14ac:dyDescent="0.4">
      <c r="A45" t="s">
        <v>56</v>
      </c>
      <c r="B4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 s="17">
        <f>ScenarioStat4[[#This Row],[team-1-win]]+ScenarioStat4[[#This Row],[team-2-win]]+ScenarioStat4[[#This Row],[team-3-win]]+ScenarioStat4[[#This Row],[team-4-win]]</f>
        <v>1</v>
      </c>
    </row>
    <row r="46" spans="1:9" x14ac:dyDescent="0.4">
      <c r="A46" t="s">
        <v>56</v>
      </c>
      <c r="B4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6" s="17">
        <f>ScenarioStat4[[#This Row],[team-1-win]]+ScenarioStat4[[#This Row],[team-2-win]]+ScenarioStat4[[#This Row],[team-3-win]]+ScenarioStat4[[#This Row],[team-4-win]]</f>
        <v>1</v>
      </c>
    </row>
    <row r="47" spans="1:9" x14ac:dyDescent="0.4">
      <c r="A47" t="s">
        <v>56</v>
      </c>
      <c r="B47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7" t="s">
        <v>48</v>
      </c>
      <c r="D4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 s="17">
        <f>ScenarioStat4[[#This Row],[team-1-win]]+ScenarioStat4[[#This Row],[team-2-win]]+ScenarioStat4[[#This Row],[team-3-win]]+ScenarioStat4[[#This Row],[team-4-win]]</f>
        <v>1</v>
      </c>
    </row>
    <row r="48" spans="1:9" x14ac:dyDescent="0.4">
      <c r="A48" t="s">
        <v>56</v>
      </c>
      <c r="B4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8" s="17">
        <f>ScenarioStat4[[#This Row],[team-1-win]]+ScenarioStat4[[#This Row],[team-2-win]]+ScenarioStat4[[#This Row],[team-3-win]]+ScenarioStat4[[#This Row],[team-4-win]]</f>
        <v>1</v>
      </c>
    </row>
    <row r="49" spans="1:9" x14ac:dyDescent="0.4">
      <c r="A49" t="s">
        <v>56</v>
      </c>
      <c r="B4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9" s="17">
        <f>ScenarioStat4[[#This Row],[team-1-win]]+ScenarioStat4[[#This Row],[team-2-win]]+ScenarioStat4[[#This Row],[team-3-win]]+ScenarioStat4[[#This Row],[team-4-win]]</f>
        <v>1</v>
      </c>
    </row>
    <row r="50" spans="1:9" x14ac:dyDescent="0.4">
      <c r="A50" t="s">
        <v>56</v>
      </c>
      <c r="B5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 s="17">
        <f>ScenarioStat4[[#This Row],[team-1-win]]+ScenarioStat4[[#This Row],[team-2-win]]+ScenarioStat4[[#This Row],[team-3-win]]+ScenarioStat4[[#This Row],[team-4-win]]</f>
        <v>1</v>
      </c>
    </row>
    <row r="51" spans="1:9" x14ac:dyDescent="0.4">
      <c r="A51" t="s">
        <v>56</v>
      </c>
      <c r="B5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1" s="17">
        <f>ScenarioStat4[[#This Row],[team-1-win]]+ScenarioStat4[[#This Row],[team-2-win]]+ScenarioStat4[[#This Row],[team-3-win]]+ScenarioStat4[[#This Row],[team-4-win]]</f>
        <v>1</v>
      </c>
    </row>
    <row r="52" spans="1:9" x14ac:dyDescent="0.4">
      <c r="A52" t="s">
        <v>56</v>
      </c>
      <c r="B52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2" t="s">
        <v>33</v>
      </c>
      <c r="D5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 s="17">
        <f>ScenarioStat4[[#This Row],[team-1-win]]+ScenarioStat4[[#This Row],[team-2-win]]+ScenarioStat4[[#This Row],[team-3-win]]+ScenarioStat4[[#This Row],[team-4-win]]</f>
        <v>1</v>
      </c>
    </row>
    <row r="53" spans="1:9" x14ac:dyDescent="0.4">
      <c r="A53" t="s">
        <v>56</v>
      </c>
      <c r="B5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 s="17">
        <f>ScenarioStat4[[#This Row],[team-1-win]]+ScenarioStat4[[#This Row],[team-2-win]]+ScenarioStat4[[#This Row],[team-3-win]]+ScenarioStat4[[#This Row],[team-4-win]]</f>
        <v>1</v>
      </c>
    </row>
    <row r="54" spans="1:9" x14ac:dyDescent="0.4">
      <c r="A54" t="s">
        <v>56</v>
      </c>
      <c r="B5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4" s="17">
        <f>ScenarioStat4[[#This Row],[team-1-win]]+ScenarioStat4[[#This Row],[team-2-win]]+ScenarioStat4[[#This Row],[team-3-win]]+ScenarioStat4[[#This Row],[team-4-win]]</f>
        <v>1</v>
      </c>
    </row>
    <row r="55" spans="1:9" x14ac:dyDescent="0.4">
      <c r="A55" t="s">
        <v>56</v>
      </c>
      <c r="B55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 s="17">
        <f>ScenarioStat4[[#This Row],[team-1-win]]+ScenarioStat4[[#This Row],[team-2-win]]+ScenarioStat4[[#This Row],[team-3-win]]+ScenarioStat4[[#This Row],[team-4-win]]</f>
        <v>1</v>
      </c>
    </row>
    <row r="56" spans="1:9" x14ac:dyDescent="0.4">
      <c r="A56" t="s">
        <v>56</v>
      </c>
      <c r="B56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6" t="s">
        <v>43</v>
      </c>
      <c r="D5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 s="17">
        <f>ScenarioStat4[[#This Row],[team-1-win]]+ScenarioStat4[[#This Row],[team-2-win]]+ScenarioStat4[[#This Row],[team-3-win]]+ScenarioStat4[[#This Row],[team-4-win]]</f>
        <v>1</v>
      </c>
    </row>
    <row r="57" spans="1:9" x14ac:dyDescent="0.4">
      <c r="A57" t="s">
        <v>56</v>
      </c>
      <c r="B5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 s="17">
        <f>ScenarioStat4[[#This Row],[team-1-win]]+ScenarioStat4[[#This Row],[team-2-win]]+ScenarioStat4[[#This Row],[team-3-win]]+ScenarioStat4[[#This Row],[team-4-win]]</f>
        <v>1</v>
      </c>
    </row>
    <row r="58" spans="1:9" x14ac:dyDescent="0.4">
      <c r="A58" t="s">
        <v>48</v>
      </c>
      <c r="B5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 s="17">
        <f>ScenarioStat4[[#This Row],[team-1-win]]+ScenarioStat4[[#This Row],[team-2-win]]+ScenarioStat4[[#This Row],[team-3-win]]+ScenarioStat4[[#This Row],[team-4-win]]</f>
        <v>1</v>
      </c>
    </row>
    <row r="59" spans="1:9" x14ac:dyDescent="0.4">
      <c r="A59" t="s">
        <v>48</v>
      </c>
      <c r="B5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 s="17">
        <f>ScenarioStat4[[#This Row],[team-1-win]]+ScenarioStat4[[#This Row],[team-2-win]]+ScenarioStat4[[#This Row],[team-3-win]]+ScenarioStat4[[#This Row],[team-4-win]]</f>
        <v>1</v>
      </c>
    </row>
    <row r="60" spans="1:9" x14ac:dyDescent="0.4">
      <c r="A60" t="s">
        <v>48</v>
      </c>
      <c r="B6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 s="17">
        <f>ScenarioStat4[[#This Row],[team-1-win]]+ScenarioStat4[[#This Row],[team-2-win]]+ScenarioStat4[[#This Row],[team-3-win]]+ScenarioStat4[[#This Row],[team-4-win]]</f>
        <v>1</v>
      </c>
    </row>
    <row r="61" spans="1:9" x14ac:dyDescent="0.4">
      <c r="A61" t="s">
        <v>48</v>
      </c>
      <c r="B6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 s="17">
        <f>ScenarioStat4[[#This Row],[team-1-win]]+ScenarioStat4[[#This Row],[team-2-win]]+ScenarioStat4[[#This Row],[team-3-win]]+ScenarioStat4[[#This Row],[team-4-win]]</f>
        <v>1</v>
      </c>
    </row>
    <row r="62" spans="1:9" x14ac:dyDescent="0.4">
      <c r="A62" t="s">
        <v>48</v>
      </c>
      <c r="B6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 s="17">
        <f>ScenarioStat4[[#This Row],[team-1-win]]+ScenarioStat4[[#This Row],[team-2-win]]+ScenarioStat4[[#This Row],[team-3-win]]+ScenarioStat4[[#This Row],[team-4-win]]</f>
        <v>1</v>
      </c>
    </row>
    <row r="63" spans="1:9" x14ac:dyDescent="0.4">
      <c r="A63" t="s">
        <v>48</v>
      </c>
      <c r="B6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 s="17">
        <f>ScenarioStat4[[#This Row],[team-1-win]]+ScenarioStat4[[#This Row],[team-2-win]]+ScenarioStat4[[#This Row],[team-3-win]]+ScenarioStat4[[#This Row],[team-4-win]]</f>
        <v>1</v>
      </c>
    </row>
    <row r="64" spans="1:9" x14ac:dyDescent="0.4">
      <c r="A64" t="s">
        <v>48</v>
      </c>
      <c r="B6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 s="17">
        <f>ScenarioStat4[[#This Row],[team-1-win]]+ScenarioStat4[[#This Row],[team-2-win]]+ScenarioStat4[[#This Row],[team-3-win]]+ScenarioStat4[[#This Row],[team-4-win]]</f>
        <v>1</v>
      </c>
    </row>
    <row r="65" spans="1:9" x14ac:dyDescent="0.4">
      <c r="A65" t="s">
        <v>48</v>
      </c>
      <c r="B6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 s="17">
        <f>ScenarioStat4[[#This Row],[team-1-win]]+ScenarioStat4[[#This Row],[team-2-win]]+ScenarioStat4[[#This Row],[team-3-win]]+ScenarioStat4[[#This Row],[team-4-win]]</f>
        <v>1</v>
      </c>
    </row>
    <row r="66" spans="1:9" x14ac:dyDescent="0.4">
      <c r="A66" t="s">
        <v>48</v>
      </c>
      <c r="B6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 s="17">
        <f>ScenarioStat4[[#This Row],[team-1-win]]+ScenarioStat4[[#This Row],[team-2-win]]+ScenarioStat4[[#This Row],[team-3-win]]+ScenarioStat4[[#This Row],[team-4-win]]</f>
        <v>1</v>
      </c>
    </row>
    <row r="67" spans="1:9" x14ac:dyDescent="0.4">
      <c r="A67" t="s">
        <v>48</v>
      </c>
      <c r="B6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7" s="17">
        <f>ScenarioStat4[[#This Row],[team-1-win]]+ScenarioStat4[[#This Row],[team-2-win]]+ScenarioStat4[[#This Row],[team-3-win]]+ScenarioStat4[[#This Row],[team-4-win]]</f>
        <v>1</v>
      </c>
    </row>
    <row r="68" spans="1:9" x14ac:dyDescent="0.4">
      <c r="A68" t="s">
        <v>33</v>
      </c>
      <c r="B68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8" t="s">
        <v>43</v>
      </c>
      <c r="D6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 s="17">
        <f>ScenarioStat4[[#This Row],[team-1-win]]+ScenarioStat4[[#This Row],[team-2-win]]+ScenarioStat4[[#This Row],[team-3-win]]+ScenarioStat4[[#This Row],[team-4-win]]</f>
        <v>1</v>
      </c>
    </row>
    <row r="69" spans="1:9" x14ac:dyDescent="0.4">
      <c r="A69" t="s">
        <v>33</v>
      </c>
      <c r="B6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 s="17">
        <f>ScenarioStat4[[#This Row],[team-1-win]]+ScenarioStat4[[#This Row],[team-2-win]]+ScenarioStat4[[#This Row],[team-3-win]]+ScenarioStat4[[#This Row],[team-4-win]]</f>
        <v>1</v>
      </c>
    </row>
    <row r="70" spans="1:9" x14ac:dyDescent="0.4">
      <c r="A70" t="s">
        <v>33</v>
      </c>
      <c r="B70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0" t="s">
        <v>43</v>
      </c>
      <c r="D7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 s="17">
        <f>ScenarioStat4[[#This Row],[team-1-win]]+ScenarioStat4[[#This Row],[team-2-win]]+ScenarioStat4[[#This Row],[team-3-win]]+ScenarioStat4[[#This Row],[team-4-win]]</f>
        <v>1</v>
      </c>
    </row>
    <row r="71" spans="1:9" x14ac:dyDescent="0.4">
      <c r="A71" t="s">
        <v>33</v>
      </c>
      <c r="B71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1" t="s">
        <v>45</v>
      </c>
      <c r="D7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 s="17">
        <f>ScenarioStat4[[#This Row],[team-1-win]]+ScenarioStat4[[#This Row],[team-2-win]]+ScenarioStat4[[#This Row],[team-3-win]]+ScenarioStat4[[#This Row],[team-4-win]]</f>
        <v>1</v>
      </c>
    </row>
    <row r="72" spans="1:9" x14ac:dyDescent="0.4">
      <c r="A72" t="s">
        <v>43</v>
      </c>
      <c r="B7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2" s="17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13"/>
  <sheetViews>
    <sheetView workbookViewId="0">
      <selection activeCell="AN9" sqref="AN9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822</v>
      </c>
      <c r="B2">
        <v>0</v>
      </c>
      <c r="C2" t="s">
        <v>48</v>
      </c>
      <c r="D2">
        <v>3</v>
      </c>
      <c r="F2">
        <v>1</v>
      </c>
      <c r="G2" t="s">
        <v>49</v>
      </c>
      <c r="H2" t="s">
        <v>71</v>
      </c>
      <c r="K2" t="s">
        <v>33</v>
      </c>
      <c r="L2">
        <v>2</v>
      </c>
      <c r="N2">
        <v>1</v>
      </c>
      <c r="O2" t="s">
        <v>46</v>
      </c>
      <c r="P2" t="s">
        <v>130</v>
      </c>
      <c r="Q2" t="s">
        <v>132</v>
      </c>
      <c r="R2" t="s">
        <v>134</v>
      </c>
      <c r="S2" t="s">
        <v>53</v>
      </c>
      <c r="T2">
        <v>1</v>
      </c>
      <c r="U2">
        <v>1</v>
      </c>
      <c r="V2">
        <v>2</v>
      </c>
      <c r="W2" t="s">
        <v>112</v>
      </c>
      <c r="X2" t="s">
        <v>83</v>
      </c>
      <c r="Y2" t="s">
        <v>97</v>
      </c>
      <c r="AA2" t="s">
        <v>56</v>
      </c>
      <c r="AB2">
        <v>2</v>
      </c>
      <c r="AD2">
        <v>2</v>
      </c>
      <c r="AE2" t="s">
        <v>120</v>
      </c>
      <c r="AI2">
        <v>0</v>
      </c>
      <c r="AJ2">
        <v>18</v>
      </c>
    </row>
    <row r="3" spans="1:36" x14ac:dyDescent="0.4">
      <c r="A3" t="s">
        <v>823</v>
      </c>
      <c r="B3">
        <v>1</v>
      </c>
      <c r="C3" t="s">
        <v>48</v>
      </c>
      <c r="D3">
        <v>1</v>
      </c>
      <c r="F3">
        <v>1</v>
      </c>
      <c r="G3" t="s">
        <v>126</v>
      </c>
      <c r="H3" t="s">
        <v>84</v>
      </c>
      <c r="I3" t="s">
        <v>90</v>
      </c>
      <c r="J3" t="s">
        <v>129</v>
      </c>
      <c r="K3" t="s">
        <v>43</v>
      </c>
      <c r="L3">
        <v>2</v>
      </c>
      <c r="N3">
        <v>3</v>
      </c>
      <c r="O3" t="s">
        <v>73</v>
      </c>
      <c r="P3" t="s">
        <v>74</v>
      </c>
      <c r="Q3" t="s">
        <v>100</v>
      </c>
      <c r="R3" t="s">
        <v>138</v>
      </c>
      <c r="S3" t="s">
        <v>53</v>
      </c>
      <c r="T3">
        <v>2</v>
      </c>
      <c r="U3">
        <v>1</v>
      </c>
      <c r="V3">
        <v>3</v>
      </c>
      <c r="W3" t="s">
        <v>112</v>
      </c>
      <c r="X3" t="s">
        <v>83</v>
      </c>
      <c r="Y3" t="s">
        <v>105</v>
      </c>
      <c r="Z3" t="s">
        <v>116</v>
      </c>
      <c r="AA3" t="s">
        <v>56</v>
      </c>
      <c r="AB3">
        <v>2</v>
      </c>
      <c r="AD3">
        <v>1</v>
      </c>
      <c r="AE3" t="s">
        <v>120</v>
      </c>
      <c r="AF3" t="s">
        <v>69</v>
      </c>
      <c r="AG3" t="s">
        <v>87</v>
      </c>
      <c r="AH3" t="s">
        <v>124</v>
      </c>
      <c r="AI3">
        <v>0</v>
      </c>
      <c r="AJ3">
        <v>24</v>
      </c>
    </row>
    <row r="4" spans="1:36" x14ac:dyDescent="0.4">
      <c r="A4" t="s">
        <v>825</v>
      </c>
      <c r="B4">
        <v>2</v>
      </c>
      <c r="C4" t="s">
        <v>53</v>
      </c>
      <c r="D4">
        <v>1</v>
      </c>
      <c r="E4">
        <v>1</v>
      </c>
      <c r="F4">
        <v>2</v>
      </c>
      <c r="G4" t="s">
        <v>112</v>
      </c>
      <c r="H4" t="s">
        <v>83</v>
      </c>
      <c r="I4" t="s">
        <v>105</v>
      </c>
      <c r="J4" t="s">
        <v>98</v>
      </c>
      <c r="K4" t="s">
        <v>56</v>
      </c>
      <c r="L4">
        <v>2</v>
      </c>
      <c r="N4">
        <v>1</v>
      </c>
      <c r="O4" t="s">
        <v>120</v>
      </c>
      <c r="P4" t="s">
        <v>122</v>
      </c>
      <c r="Q4" t="s">
        <v>123</v>
      </c>
      <c r="S4" t="s">
        <v>48</v>
      </c>
      <c r="T4">
        <v>2</v>
      </c>
      <c r="V4">
        <v>1</v>
      </c>
      <c r="W4" t="s">
        <v>89</v>
      </c>
      <c r="X4" t="s">
        <v>84</v>
      </c>
      <c r="AA4" t="s">
        <v>45</v>
      </c>
      <c r="AB4">
        <v>3</v>
      </c>
      <c r="AD4">
        <v>1</v>
      </c>
      <c r="AE4" t="s">
        <v>140</v>
      </c>
      <c r="AF4" t="s">
        <v>76</v>
      </c>
      <c r="AG4" t="s">
        <v>102</v>
      </c>
      <c r="AI4">
        <v>0</v>
      </c>
      <c r="AJ4">
        <v>17</v>
      </c>
    </row>
    <row r="5" spans="1:36" x14ac:dyDescent="0.4">
      <c r="A5" t="s">
        <v>826</v>
      </c>
      <c r="B5">
        <v>3</v>
      </c>
      <c r="C5" t="s">
        <v>53</v>
      </c>
      <c r="D5">
        <v>1</v>
      </c>
      <c r="E5">
        <v>1</v>
      </c>
      <c r="F5">
        <v>2</v>
      </c>
      <c r="G5" t="s">
        <v>111</v>
      </c>
      <c r="H5" t="s">
        <v>83</v>
      </c>
      <c r="I5" t="s">
        <v>105</v>
      </c>
      <c r="K5" t="s">
        <v>56</v>
      </c>
      <c r="L5">
        <v>2</v>
      </c>
      <c r="N5">
        <v>1</v>
      </c>
      <c r="O5" t="s">
        <v>120</v>
      </c>
      <c r="P5" t="s">
        <v>69</v>
      </c>
      <c r="Q5" t="s">
        <v>87</v>
      </c>
      <c r="S5" t="s">
        <v>48</v>
      </c>
      <c r="T5">
        <v>1</v>
      </c>
      <c r="V5">
        <v>1</v>
      </c>
      <c r="W5" t="s">
        <v>126</v>
      </c>
      <c r="X5" t="s">
        <v>71</v>
      </c>
      <c r="Y5" t="s">
        <v>127</v>
      </c>
      <c r="Z5" t="s">
        <v>128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G5" t="s">
        <v>104</v>
      </c>
      <c r="AI5">
        <v>0</v>
      </c>
      <c r="AJ5">
        <v>15</v>
      </c>
    </row>
    <row r="6" spans="1:36" x14ac:dyDescent="0.4">
      <c r="A6" t="s">
        <v>827</v>
      </c>
      <c r="B6">
        <v>4</v>
      </c>
      <c r="C6" t="s">
        <v>53</v>
      </c>
      <c r="D6">
        <v>2</v>
      </c>
      <c r="E6">
        <v>1</v>
      </c>
      <c r="F6">
        <v>2</v>
      </c>
      <c r="G6" t="s">
        <v>112</v>
      </c>
      <c r="H6" t="s">
        <v>83</v>
      </c>
      <c r="I6" t="s">
        <v>105</v>
      </c>
      <c r="J6" t="s">
        <v>98</v>
      </c>
      <c r="K6" t="s">
        <v>56</v>
      </c>
      <c r="L6">
        <v>2</v>
      </c>
      <c r="N6">
        <v>1</v>
      </c>
      <c r="O6" t="s">
        <v>120</v>
      </c>
      <c r="P6" t="s">
        <v>69</v>
      </c>
      <c r="Q6" t="s">
        <v>87</v>
      </c>
      <c r="R6" t="s">
        <v>124</v>
      </c>
      <c r="S6" t="s">
        <v>48</v>
      </c>
      <c r="T6">
        <v>2</v>
      </c>
      <c r="V6">
        <v>1</v>
      </c>
      <c r="W6" t="s">
        <v>126</v>
      </c>
      <c r="X6" t="s">
        <v>84</v>
      </c>
      <c r="Y6" t="s">
        <v>127</v>
      </c>
      <c r="Z6" t="s">
        <v>128</v>
      </c>
      <c r="AA6" t="s">
        <v>38</v>
      </c>
      <c r="AB6">
        <v>3</v>
      </c>
      <c r="AC6">
        <v>1</v>
      </c>
      <c r="AD6">
        <v>1</v>
      </c>
      <c r="AE6" t="s">
        <v>152</v>
      </c>
      <c r="AI6">
        <v>0</v>
      </c>
      <c r="AJ6">
        <v>19</v>
      </c>
    </row>
    <row r="7" spans="1:36" x14ac:dyDescent="0.4">
      <c r="A7" t="s">
        <v>828</v>
      </c>
      <c r="B7">
        <v>5</v>
      </c>
      <c r="C7" t="s">
        <v>53</v>
      </c>
      <c r="D7">
        <v>2</v>
      </c>
      <c r="E7">
        <v>1</v>
      </c>
      <c r="F7">
        <v>2</v>
      </c>
      <c r="G7" t="s">
        <v>112</v>
      </c>
      <c r="H7" t="s">
        <v>83</v>
      </c>
      <c r="I7" t="s">
        <v>97</v>
      </c>
      <c r="J7" t="s">
        <v>116</v>
      </c>
      <c r="K7" t="s">
        <v>56</v>
      </c>
      <c r="L7">
        <v>1</v>
      </c>
      <c r="N7">
        <v>3</v>
      </c>
      <c r="O7" t="s">
        <v>120</v>
      </c>
      <c r="P7" t="s">
        <v>121</v>
      </c>
      <c r="Q7" t="s">
        <v>123</v>
      </c>
      <c r="R7" t="s">
        <v>88</v>
      </c>
      <c r="S7" t="s">
        <v>33</v>
      </c>
      <c r="T7">
        <v>1</v>
      </c>
      <c r="V7">
        <v>2</v>
      </c>
      <c r="W7" t="s">
        <v>46</v>
      </c>
      <c r="X7" t="s">
        <v>130</v>
      </c>
      <c r="Y7" t="s">
        <v>132</v>
      </c>
      <c r="Z7" t="s">
        <v>134</v>
      </c>
      <c r="AA7" t="s">
        <v>43</v>
      </c>
      <c r="AB7">
        <v>3</v>
      </c>
      <c r="AD7">
        <v>1</v>
      </c>
      <c r="AE7" t="s">
        <v>135</v>
      </c>
      <c r="AF7" t="s">
        <v>74</v>
      </c>
      <c r="AG7" t="s">
        <v>75</v>
      </c>
      <c r="AH7" t="s">
        <v>139</v>
      </c>
      <c r="AI7">
        <v>0</v>
      </c>
      <c r="AJ7">
        <v>23</v>
      </c>
    </row>
    <row r="8" spans="1:36" x14ac:dyDescent="0.4">
      <c r="A8" t="s">
        <v>829</v>
      </c>
      <c r="B8">
        <v>6</v>
      </c>
      <c r="C8" t="s">
        <v>33</v>
      </c>
      <c r="D8">
        <v>2</v>
      </c>
      <c r="F8">
        <v>2</v>
      </c>
      <c r="G8" t="s">
        <v>46</v>
      </c>
      <c r="H8" t="s">
        <v>130</v>
      </c>
      <c r="I8" t="s">
        <v>36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3</v>
      </c>
      <c r="U8">
        <v>1</v>
      </c>
      <c r="V8">
        <v>1</v>
      </c>
      <c r="W8" t="s">
        <v>112</v>
      </c>
      <c r="X8" t="s">
        <v>83</v>
      </c>
      <c r="AA8" t="s">
        <v>56</v>
      </c>
      <c r="AB8">
        <v>1</v>
      </c>
      <c r="AD8">
        <v>2</v>
      </c>
      <c r="AE8" t="s">
        <v>120</v>
      </c>
      <c r="AF8" t="s">
        <v>122</v>
      </c>
      <c r="AI8">
        <v>0</v>
      </c>
      <c r="AJ8">
        <v>15</v>
      </c>
    </row>
    <row r="9" spans="1:36" x14ac:dyDescent="0.4">
      <c r="A9" t="s">
        <v>830</v>
      </c>
      <c r="B9">
        <v>7</v>
      </c>
      <c r="C9" t="s">
        <v>53</v>
      </c>
      <c r="D9">
        <v>1</v>
      </c>
      <c r="E9">
        <v>1</v>
      </c>
      <c r="F9">
        <v>1</v>
      </c>
      <c r="G9" t="s">
        <v>112</v>
      </c>
      <c r="H9" t="s">
        <v>83</v>
      </c>
      <c r="I9" t="s">
        <v>97</v>
      </c>
      <c r="K9" t="s">
        <v>56</v>
      </c>
      <c r="L9">
        <v>3</v>
      </c>
      <c r="N9">
        <v>1</v>
      </c>
      <c r="O9" t="s">
        <v>120</v>
      </c>
      <c r="P9" t="s">
        <v>69</v>
      </c>
      <c r="Q9" t="s">
        <v>123</v>
      </c>
      <c r="S9" t="s">
        <v>33</v>
      </c>
      <c r="T9">
        <v>1</v>
      </c>
      <c r="V9">
        <v>2</v>
      </c>
      <c r="W9" t="s">
        <v>34</v>
      </c>
      <c r="X9" t="s">
        <v>130</v>
      </c>
      <c r="Y9" t="s">
        <v>36</v>
      </c>
      <c r="AA9" t="s">
        <v>63</v>
      </c>
      <c r="AB9">
        <v>2</v>
      </c>
      <c r="AD9">
        <v>1</v>
      </c>
      <c r="AE9" t="s">
        <v>103</v>
      </c>
      <c r="AF9" t="s">
        <v>95</v>
      </c>
      <c r="AG9" t="s">
        <v>147</v>
      </c>
      <c r="AI9">
        <v>0</v>
      </c>
      <c r="AJ9">
        <v>16</v>
      </c>
    </row>
    <row r="10" spans="1:36" x14ac:dyDescent="0.4">
      <c r="A10" t="s">
        <v>831</v>
      </c>
      <c r="B10">
        <v>8</v>
      </c>
      <c r="C10" t="s">
        <v>33</v>
      </c>
      <c r="D10">
        <v>1</v>
      </c>
      <c r="F10">
        <v>2</v>
      </c>
      <c r="G10" t="s">
        <v>46</v>
      </c>
      <c r="H10" t="s">
        <v>130</v>
      </c>
      <c r="I10" t="s">
        <v>36</v>
      </c>
      <c r="K10" t="s">
        <v>38</v>
      </c>
      <c r="L10">
        <v>3</v>
      </c>
      <c r="M10">
        <v>2</v>
      </c>
      <c r="N10">
        <v>1</v>
      </c>
      <c r="O10" t="s">
        <v>152</v>
      </c>
      <c r="P10" t="s">
        <v>96</v>
      </c>
      <c r="Q10" t="s">
        <v>153</v>
      </c>
      <c r="R10" t="s">
        <v>156</v>
      </c>
      <c r="S10" t="s">
        <v>53</v>
      </c>
      <c r="T10">
        <v>1</v>
      </c>
      <c r="U10">
        <v>1</v>
      </c>
      <c r="V10">
        <v>1</v>
      </c>
      <c r="W10" t="s">
        <v>112</v>
      </c>
      <c r="X10" t="s">
        <v>83</v>
      </c>
      <c r="AA10" t="s">
        <v>56</v>
      </c>
      <c r="AB10">
        <v>3</v>
      </c>
      <c r="AD10">
        <v>3</v>
      </c>
      <c r="AE10" t="s">
        <v>120</v>
      </c>
      <c r="AF10" t="s">
        <v>69</v>
      </c>
      <c r="AG10" t="s">
        <v>87</v>
      </c>
      <c r="AI10">
        <v>0</v>
      </c>
      <c r="AJ10">
        <v>21</v>
      </c>
    </row>
    <row r="11" spans="1:36" x14ac:dyDescent="0.4">
      <c r="A11" t="s">
        <v>832</v>
      </c>
      <c r="B11">
        <v>9</v>
      </c>
      <c r="C11" t="s">
        <v>53</v>
      </c>
      <c r="D11">
        <v>1</v>
      </c>
      <c r="E11">
        <v>1</v>
      </c>
      <c r="F11">
        <v>3</v>
      </c>
      <c r="G11" t="s">
        <v>112</v>
      </c>
      <c r="H11" t="s">
        <v>83</v>
      </c>
      <c r="I11" t="s">
        <v>105</v>
      </c>
      <c r="K11" t="s">
        <v>56</v>
      </c>
      <c r="L11">
        <v>1</v>
      </c>
      <c r="N11">
        <v>2</v>
      </c>
      <c r="O11" t="s">
        <v>120</v>
      </c>
      <c r="P11" t="s">
        <v>121</v>
      </c>
      <c r="Q11" t="s">
        <v>87</v>
      </c>
      <c r="S11" t="s">
        <v>43</v>
      </c>
      <c r="T11">
        <v>1</v>
      </c>
      <c r="V11">
        <v>1</v>
      </c>
      <c r="W11" t="s">
        <v>73</v>
      </c>
      <c r="X11" t="s">
        <v>74</v>
      </c>
      <c r="Y11" t="s">
        <v>100</v>
      </c>
      <c r="Z11" t="s">
        <v>139</v>
      </c>
      <c r="AA11" t="s">
        <v>45</v>
      </c>
      <c r="AB11">
        <v>3</v>
      </c>
      <c r="AD11">
        <v>1</v>
      </c>
      <c r="AE11" t="s">
        <v>140</v>
      </c>
      <c r="AF11" t="s">
        <v>76</v>
      </c>
      <c r="AG11" t="s">
        <v>102</v>
      </c>
      <c r="AI11">
        <v>0</v>
      </c>
      <c r="AJ11">
        <v>19</v>
      </c>
    </row>
    <row r="12" spans="1:36" x14ac:dyDescent="0.4">
      <c r="A12" t="s">
        <v>833</v>
      </c>
      <c r="B12">
        <v>10</v>
      </c>
      <c r="C12" t="s">
        <v>53</v>
      </c>
      <c r="D12">
        <v>2</v>
      </c>
      <c r="E12">
        <v>1</v>
      </c>
      <c r="F12">
        <v>3</v>
      </c>
      <c r="G12" t="s">
        <v>112</v>
      </c>
      <c r="H12" t="s">
        <v>83</v>
      </c>
      <c r="I12" t="s">
        <v>97</v>
      </c>
      <c r="K12" t="s">
        <v>56</v>
      </c>
      <c r="L12">
        <v>1</v>
      </c>
      <c r="N12">
        <v>2</v>
      </c>
      <c r="O12" t="s">
        <v>120</v>
      </c>
      <c r="P12" t="s">
        <v>69</v>
      </c>
      <c r="Q12" t="s">
        <v>87</v>
      </c>
      <c r="R12" t="s">
        <v>125</v>
      </c>
      <c r="S12" t="s">
        <v>43</v>
      </c>
      <c r="T12">
        <v>1</v>
      </c>
      <c r="V12">
        <v>1</v>
      </c>
      <c r="W12" t="s">
        <v>73</v>
      </c>
      <c r="X12" t="s">
        <v>74</v>
      </c>
      <c r="Y12" t="s">
        <v>75</v>
      </c>
      <c r="AA12" t="s">
        <v>63</v>
      </c>
      <c r="AB12">
        <v>3</v>
      </c>
      <c r="AD12">
        <v>1</v>
      </c>
      <c r="AE12" t="s">
        <v>103</v>
      </c>
      <c r="AF12" t="s">
        <v>95</v>
      </c>
      <c r="AG12" t="s">
        <v>147</v>
      </c>
      <c r="AI12">
        <v>0</v>
      </c>
      <c r="AJ12">
        <v>20</v>
      </c>
    </row>
    <row r="13" spans="1:36" x14ac:dyDescent="0.4">
      <c r="A13" t="s">
        <v>834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105</v>
      </c>
      <c r="J13" t="s">
        <v>116</v>
      </c>
      <c r="K13" t="s">
        <v>56</v>
      </c>
      <c r="L13">
        <v>3</v>
      </c>
      <c r="N13">
        <v>3</v>
      </c>
      <c r="O13" t="s">
        <v>120</v>
      </c>
      <c r="P13" t="s">
        <v>69</v>
      </c>
      <c r="Q13" t="s">
        <v>123</v>
      </c>
      <c r="R13" t="s">
        <v>124</v>
      </c>
      <c r="S13" t="s">
        <v>43</v>
      </c>
      <c r="T13">
        <v>3</v>
      </c>
      <c r="V13">
        <v>3</v>
      </c>
      <c r="W13" t="s">
        <v>73</v>
      </c>
      <c r="X13" t="s">
        <v>74</v>
      </c>
      <c r="Y13" t="s">
        <v>100</v>
      </c>
      <c r="Z13" t="s">
        <v>138</v>
      </c>
      <c r="AA13" t="s">
        <v>38</v>
      </c>
      <c r="AB13">
        <v>2</v>
      </c>
      <c r="AC13">
        <v>1</v>
      </c>
      <c r="AD13">
        <v>1</v>
      </c>
      <c r="AE13" t="s">
        <v>152</v>
      </c>
      <c r="AF13" t="s">
        <v>96</v>
      </c>
      <c r="AG13" t="s">
        <v>153</v>
      </c>
      <c r="AI13">
        <v>0</v>
      </c>
      <c r="AJ13">
        <v>33</v>
      </c>
    </row>
  </sheetData>
  <conditionalFormatting sqref="B1:B1048576">
    <cfRule type="duplicateValues" dxfId="33" priority="1"/>
  </conditionalFormatting>
  <conditionalFormatting sqref="A2:B13">
    <cfRule type="duplicateValues" dxfId="32" priority="74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12" sqref="O12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bestFit="1" customWidth="1"/>
    <col min="15" max="15" width="23.3828125" bestFit="1" customWidth="1"/>
    <col min="16" max="16" width="3.84375" bestFit="1" customWidth="1"/>
    <col min="18" max="18" width="9.3046875" bestFit="1" customWidth="1"/>
  </cols>
  <sheetData>
    <row r="1" spans="1:16" ht="15" thickBot="1" x14ac:dyDescent="0.45">
      <c r="A1" s="41" t="s">
        <v>78</v>
      </c>
      <c r="B1" s="42"/>
      <c r="C1" s="42"/>
      <c r="D1" s="42"/>
      <c r="E1" s="42"/>
      <c r="F1" s="42"/>
      <c r="G1" s="43"/>
      <c r="I1" s="41" t="s">
        <v>82</v>
      </c>
      <c r="J1" s="42"/>
      <c r="K1" s="42"/>
      <c r="L1" s="42"/>
      <c r="M1" s="43"/>
      <c r="O1" s="5" t="s">
        <v>157</v>
      </c>
      <c r="P1" s="36">
        <f>MIN(Scenario5[crystals])</f>
        <v>0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5" t="s">
        <v>107</v>
      </c>
      <c r="P2" s="36">
        <f>AVERAGE(Scenario5[crystals])</f>
        <v>0</v>
      </c>
    </row>
    <row r="3" spans="1:16" ht="15" thickBot="1" x14ac:dyDescent="0.45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12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3" s="3">
        <f>IF(ScenarioTeams5[[#This Row],[battles]],ScenarioTeams5[[#This Row],[wins]]/ScenarioTeams5[[#This Row],[battles]],0)</f>
        <v>0.66666666666666663</v>
      </c>
      <c r="O3" s="5" t="s">
        <v>159</v>
      </c>
      <c r="P3" s="36">
        <f>MAX(Scenario5[crystals])</f>
        <v>0</v>
      </c>
    </row>
    <row r="4" spans="1:16" ht="15" thickBot="1" x14ac:dyDescent="0.45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4" s="3">
        <f>IF(ScenarioTeams5[[#This Row],[battles]],ScenarioTeams5[[#This Row],[wins]]/ScenarioTeams5[[#This Row],[battles]],0)</f>
        <v>0</v>
      </c>
    </row>
    <row r="5" spans="1:16" ht="15" thickBot="1" x14ac:dyDescent="0.45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5" s="3">
        <f>IF(ScenarioTeams5[[#This Row],[battles]],ScenarioTeams5[[#This Row],[wins]]/ScenarioTeams5[[#This Row],[battles]],0)</f>
        <v>0</v>
      </c>
      <c r="O5" s="5" t="s">
        <v>158</v>
      </c>
      <c r="P5" s="36">
        <f>MIN(Scenario5[turns])</f>
        <v>15</v>
      </c>
    </row>
    <row r="6" spans="1:16" ht="15" thickBot="1" x14ac:dyDescent="0.45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6" s="3">
        <f>IF(ScenarioTeams5[[#This Row],[battles]],ScenarioTeams5[[#This Row],[wins]]/ScenarioTeams5[[#This Row],[battles]],0)</f>
        <v>0</v>
      </c>
      <c r="O6" s="6" t="s">
        <v>108</v>
      </c>
      <c r="P6" s="37">
        <f>AVERAGE(Scenario5[turns])</f>
        <v>20</v>
      </c>
    </row>
    <row r="7" spans="1:16" ht="15" thickBot="1" x14ac:dyDescent="0.45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7" s="3">
        <f>IF(ScenarioTeams5[[#This Row],[battles]],ScenarioTeams5[[#This Row],[wins]]/ScenarioTeams5[[#This Row],[battles]],0)</f>
        <v>0</v>
      </c>
      <c r="O7" s="6" t="s">
        <v>160</v>
      </c>
      <c r="P7" s="37">
        <f>MAX(Scenario5[turns])</f>
        <v>33</v>
      </c>
    </row>
    <row r="8" spans="1:16" ht="15" thickBot="1" x14ac:dyDescent="0.45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8" s="3">
        <f>IF(ScenarioTeams5[[#This Row],[battles]],ScenarioTeams5[[#This Row],[wins]]/ScenarioTeams5[[#This Row],[battles]],0)</f>
        <v>0</v>
      </c>
    </row>
    <row r="9" spans="1:16" ht="15" thickBot="1" x14ac:dyDescent="0.45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9" s="3">
        <f>IF(ScenarioTeams5[[#This Row],[battles]],ScenarioTeams5[[#This Row],[wins]]/ScenarioTeams5[[#This Row],[battles]],0)</f>
        <v>0</v>
      </c>
      <c r="O9" s="35" t="s">
        <v>395</v>
      </c>
      <c r="P9" s="36">
        <f>120000*$P$6/1000/60</f>
        <v>40</v>
      </c>
    </row>
    <row r="10" spans="1:16" ht="15" thickBot="1" x14ac:dyDescent="0.45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0" s="3">
        <f>IF(ScenarioTeams5[[#This Row],[battles]],ScenarioTeams5[[#This Row],[wins]]/ScenarioTeams5[[#This Row],[battles]],0)</f>
        <v>0</v>
      </c>
      <c r="O10" s="34" t="s">
        <v>396</v>
      </c>
      <c r="P10" s="37">
        <f>P9*COUNTA(ScenarioStat5[hero-1])/60/24</f>
        <v>5.833333333333333</v>
      </c>
    </row>
    <row r="11" spans="1:16" x14ac:dyDescent="0.4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1" s="3">
        <f>IF(ScenarioTeams5[[#This Row],[battles]],ScenarioTeams5[[#This Row],[wins]]/ScenarioTeams5[[#This Row],[battles]],0)</f>
        <v>0</v>
      </c>
    </row>
    <row r="12" spans="1:16" x14ac:dyDescent="0.4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2" s="3">
        <f>IF(ScenarioTeams5[[#This Row],[battles]],ScenarioTeams5[[#This Row],[wins]]/ScenarioTeams5[[#This Row],[battles]],0)</f>
        <v>0</v>
      </c>
    </row>
    <row r="13" spans="1:16" x14ac:dyDescent="0.4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3" s="3">
        <f>IF(ScenarioTeams5[[#This Row],[battles]],ScenarioTeams5[[#This Row],[wins]]/ScenarioTeams5[[#This Row],[battles]],0)</f>
        <v>0</v>
      </c>
    </row>
    <row r="14" spans="1:16" x14ac:dyDescent="0.4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4" s="3">
        <f>IF(ScenarioTeams5[[#This Row],[battles]],ScenarioTeams5[[#This Row],[wins]]/ScenarioTeams5[[#This Row],[battles]],0)</f>
        <v>0</v>
      </c>
    </row>
    <row r="15" spans="1:16" x14ac:dyDescent="0.4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0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5" s="3">
        <f>IF(ScenarioTeams5[[#This Row],[battles]],ScenarioTeams5[[#This Row],[wins]]/ScenarioTeams5[[#This Row],[battles]],0)</f>
        <v>0</v>
      </c>
    </row>
    <row r="16" spans="1:16" x14ac:dyDescent="0.4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0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16" s="3">
        <f>IF(ScenarioTeams5[[#This Row],[battles]],ScenarioTeams5[[#This Row],[wins]]/ScenarioTeams5[[#This Row],[battles]],0)</f>
        <v>1</v>
      </c>
    </row>
    <row r="17" spans="1:13" x14ac:dyDescent="0.4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0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17" s="3">
        <f>IF(ScenarioTeams5[[#This Row],[battles]],ScenarioTeams5[[#This Row],[wins]]/ScenarioTeams5[[#This Row],[battles]],0)</f>
        <v>1</v>
      </c>
    </row>
    <row r="18" spans="1:13" x14ac:dyDescent="0.4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">
        <f>ScenarioStat5[[#This Row],[team-1-win]]+ScenarioStat5[[#This Row],[team-2-win]]</f>
        <v>0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8" s="3">
        <f>IF(ScenarioTeams5[[#This Row],[battles]],ScenarioTeams5[[#This Row],[wins]]/ScenarioTeams5[[#This Row],[battles]],0)</f>
        <v>0</v>
      </c>
    </row>
    <row r="19" spans="1:13" x14ac:dyDescent="0.4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0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9" s="3">
        <f>IF(ScenarioTeams5[[#This Row],[battles]],ScenarioTeams5[[#This Row],[wins]]/ScenarioTeams5[[#This Row],[battles]],0)</f>
        <v>0</v>
      </c>
    </row>
    <row r="20" spans="1:13" x14ac:dyDescent="0.4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0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0" s="3">
        <f>IF(ScenarioTeams5[[#This Row],[battles]],ScenarioTeams5[[#This Row],[wins]]/ScenarioTeams5[[#This Row],[battles]],0)</f>
        <v>0</v>
      </c>
    </row>
    <row r="21" spans="1:13" x14ac:dyDescent="0.4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0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1" s="3">
        <f>IF(ScenarioTeams5[[#This Row],[battles]],ScenarioTeams5[[#This Row],[wins]]/ScenarioTeams5[[#This Row],[battles]],0)</f>
        <v>0</v>
      </c>
    </row>
    <row r="22" spans="1:13" x14ac:dyDescent="0.4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0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22" s="3">
        <f>IF(ScenarioTeams5[[#This Row],[battles]],ScenarioTeams5[[#This Row],[wins]]/ScenarioTeams5[[#This Row],[battles]],0)</f>
        <v>1</v>
      </c>
    </row>
    <row r="23" spans="1:13" x14ac:dyDescent="0.4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0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3" s="3">
        <f>IF(ScenarioTeams5[[#This Row],[battles]],ScenarioTeams5[[#This Row],[wins]]/ScenarioTeams5[[#This Row],[battles]],0)</f>
        <v>0</v>
      </c>
    </row>
    <row r="24" spans="1:13" x14ac:dyDescent="0.4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">
        <f>ScenarioStat5[[#This Row],[team-1-win]]+ScenarioStat5[[#This Row],[team-2-win]]</f>
        <v>0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24" s="3">
        <f>IF(ScenarioTeams5[[#This Row],[battles]],ScenarioTeams5[[#This Row],[wins]]/ScenarioTeams5[[#This Row],[battles]],0)</f>
        <v>1</v>
      </c>
    </row>
    <row r="25" spans="1:13" x14ac:dyDescent="0.4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0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5" s="3">
        <f>IF(ScenarioTeams5[[#This Row],[battles]],ScenarioTeams5[[#This Row],[wins]]/ScenarioTeams5[[#This Row],[battles]],0)</f>
        <v>0</v>
      </c>
    </row>
    <row r="26" spans="1:13" x14ac:dyDescent="0.4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">
        <f>ScenarioStat5[[#This Row],[team-1-win]]+ScenarioStat5[[#This Row],[team-2-win]]</f>
        <v>0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6" s="3">
        <f>IF(ScenarioTeams5[[#This Row],[battles]],ScenarioTeams5[[#This Row],[wins]]/ScenarioTeams5[[#This Row],[battles]],0)</f>
        <v>0</v>
      </c>
    </row>
    <row r="27" spans="1:13" x14ac:dyDescent="0.4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0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7" s="3">
        <f>IF(ScenarioTeams5[[#This Row],[battles]],ScenarioTeams5[[#This Row],[wins]]/ScenarioTeams5[[#This Row],[battles]],0)</f>
        <v>0</v>
      </c>
    </row>
    <row r="28" spans="1:13" x14ac:dyDescent="0.4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">
        <f>ScenarioStat5[[#This Row],[team-1-win]]+ScenarioStat5[[#This Row],[team-2-win]]</f>
        <v>0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8" s="3">
        <f>IF(ScenarioTeams5[[#This Row],[battles]],ScenarioTeams5[[#This Row],[wins]]/ScenarioTeams5[[#This Row],[battles]],0)</f>
        <v>0</v>
      </c>
    </row>
    <row r="29" spans="1:13" x14ac:dyDescent="0.4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0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9" s="3">
        <f>IF(ScenarioTeams5[[#This Row],[battles]],ScenarioTeams5[[#This Row],[wins]]/ScenarioTeams5[[#This Row],[battles]],0)</f>
        <v>0</v>
      </c>
    </row>
    <row r="30" spans="1:13" x14ac:dyDescent="0.4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0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0" s="3">
        <f>IF(ScenarioTeams5[[#This Row],[battles]],ScenarioTeams5[[#This Row],[wins]]/ScenarioTeams5[[#This Row],[battles]],0)</f>
        <v>0</v>
      </c>
    </row>
    <row r="31" spans="1:13" x14ac:dyDescent="0.4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0</v>
      </c>
    </row>
    <row r="32" spans="1:13" x14ac:dyDescent="0.4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0</v>
      </c>
    </row>
    <row r="33" spans="1:7" x14ac:dyDescent="0.4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0</v>
      </c>
    </row>
    <row r="34" spans="1:7" x14ac:dyDescent="0.4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0</v>
      </c>
    </row>
    <row r="35" spans="1:7" x14ac:dyDescent="0.4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0</v>
      </c>
    </row>
    <row r="36" spans="1:7" x14ac:dyDescent="0.4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0</v>
      </c>
    </row>
    <row r="37" spans="1:7" x14ac:dyDescent="0.4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0</v>
      </c>
    </row>
    <row r="38" spans="1:7" x14ac:dyDescent="0.4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0</v>
      </c>
    </row>
    <row r="39" spans="1:7" x14ac:dyDescent="0.4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0</v>
      </c>
    </row>
    <row r="40" spans="1:7" x14ac:dyDescent="0.4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0</v>
      </c>
    </row>
    <row r="41" spans="1:7" x14ac:dyDescent="0.4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0</v>
      </c>
    </row>
    <row r="42" spans="1:7" x14ac:dyDescent="0.4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0</v>
      </c>
    </row>
    <row r="43" spans="1:7" x14ac:dyDescent="0.4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0</v>
      </c>
    </row>
    <row r="44" spans="1:7" x14ac:dyDescent="0.4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0</v>
      </c>
    </row>
    <row r="45" spans="1:7" x14ac:dyDescent="0.4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0</v>
      </c>
    </row>
    <row r="46" spans="1:7" x14ac:dyDescent="0.4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0</v>
      </c>
    </row>
    <row r="47" spans="1:7" x14ac:dyDescent="0.4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0</v>
      </c>
    </row>
    <row r="48" spans="1:7" x14ac:dyDescent="0.4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0</v>
      </c>
    </row>
    <row r="49" spans="1:7" x14ac:dyDescent="0.4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0</v>
      </c>
    </row>
    <row r="50" spans="1:7" x14ac:dyDescent="0.4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0</v>
      </c>
    </row>
    <row r="51" spans="1:7" x14ac:dyDescent="0.4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0</v>
      </c>
    </row>
    <row r="52" spans="1:7" x14ac:dyDescent="0.4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0</v>
      </c>
    </row>
    <row r="53" spans="1:7" x14ac:dyDescent="0.4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0</v>
      </c>
    </row>
    <row r="54" spans="1:7" x14ac:dyDescent="0.4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0</v>
      </c>
    </row>
    <row r="55" spans="1:7" x14ac:dyDescent="0.4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0</v>
      </c>
    </row>
    <row r="56" spans="1:7" x14ac:dyDescent="0.4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0</v>
      </c>
    </row>
    <row r="57" spans="1:7" x14ac:dyDescent="0.4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0</v>
      </c>
    </row>
    <row r="58" spans="1:7" x14ac:dyDescent="0.4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0</v>
      </c>
    </row>
    <row r="59" spans="1:7" x14ac:dyDescent="0.4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0</v>
      </c>
    </row>
    <row r="60" spans="1:7" x14ac:dyDescent="0.4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0</v>
      </c>
    </row>
    <row r="61" spans="1:7" x14ac:dyDescent="0.4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0</v>
      </c>
    </row>
    <row r="62" spans="1:7" x14ac:dyDescent="0.4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0</v>
      </c>
    </row>
    <row r="63" spans="1:7" x14ac:dyDescent="0.4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0</v>
      </c>
    </row>
    <row r="64" spans="1:7" x14ac:dyDescent="0.4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0</v>
      </c>
    </row>
    <row r="65" spans="1:7" x14ac:dyDescent="0.4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0</v>
      </c>
    </row>
    <row r="66" spans="1:7" x14ac:dyDescent="0.4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0</v>
      </c>
    </row>
    <row r="67" spans="1:7" x14ac:dyDescent="0.4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0</v>
      </c>
    </row>
    <row r="68" spans="1:7" x14ac:dyDescent="0.4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0</v>
      </c>
    </row>
    <row r="69" spans="1:7" x14ac:dyDescent="0.4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0</v>
      </c>
    </row>
    <row r="70" spans="1:7" x14ac:dyDescent="0.4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0</v>
      </c>
    </row>
    <row r="71" spans="1:7" x14ac:dyDescent="0.4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0</v>
      </c>
    </row>
    <row r="72" spans="1:7" x14ac:dyDescent="0.4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0</v>
      </c>
    </row>
    <row r="73" spans="1:7" x14ac:dyDescent="0.4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0</v>
      </c>
    </row>
    <row r="74" spans="1:7" x14ac:dyDescent="0.4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0</v>
      </c>
    </row>
    <row r="75" spans="1:7" x14ac:dyDescent="0.4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0</v>
      </c>
    </row>
    <row r="76" spans="1:7" x14ac:dyDescent="0.4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0</v>
      </c>
    </row>
    <row r="77" spans="1:7" x14ac:dyDescent="0.4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0</v>
      </c>
    </row>
    <row r="78" spans="1:7" x14ac:dyDescent="0.4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0</v>
      </c>
    </row>
    <row r="79" spans="1:7" x14ac:dyDescent="0.4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0</v>
      </c>
    </row>
    <row r="80" spans="1:7" x14ac:dyDescent="0.4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0</v>
      </c>
    </row>
    <row r="81" spans="1:7" x14ac:dyDescent="0.4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0</v>
      </c>
    </row>
    <row r="82" spans="1:7" x14ac:dyDescent="0.4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0</v>
      </c>
    </row>
    <row r="83" spans="1:7" x14ac:dyDescent="0.4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0</v>
      </c>
    </row>
    <row r="84" spans="1:7" x14ac:dyDescent="0.4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0</v>
      </c>
    </row>
    <row r="85" spans="1:7" x14ac:dyDescent="0.4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0</v>
      </c>
    </row>
    <row r="86" spans="1:7" x14ac:dyDescent="0.4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0</v>
      </c>
    </row>
    <row r="87" spans="1:7" x14ac:dyDescent="0.4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0</v>
      </c>
    </row>
    <row r="88" spans="1:7" x14ac:dyDescent="0.4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0</v>
      </c>
    </row>
    <row r="89" spans="1:7" x14ac:dyDescent="0.4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0</v>
      </c>
    </row>
    <row r="90" spans="1:7" x14ac:dyDescent="0.4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0</v>
      </c>
    </row>
    <row r="91" spans="1:7" x14ac:dyDescent="0.4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0</v>
      </c>
    </row>
    <row r="92" spans="1:7" x14ac:dyDescent="0.4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0</v>
      </c>
    </row>
    <row r="93" spans="1:7" x14ac:dyDescent="0.4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0</v>
      </c>
    </row>
    <row r="94" spans="1:7" x14ac:dyDescent="0.4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0</v>
      </c>
    </row>
    <row r="95" spans="1:7" x14ac:dyDescent="0.4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0</v>
      </c>
    </row>
    <row r="96" spans="1:7" x14ac:dyDescent="0.4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6">
        <f>ScenarioStat5[[#This Row],[team-1-win]]+ScenarioStat5[[#This Row],[team-2-win]]</f>
        <v>0</v>
      </c>
    </row>
    <row r="97" spans="1:7" x14ac:dyDescent="0.4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0</v>
      </c>
    </row>
    <row r="98" spans="1:7" x14ac:dyDescent="0.4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0</v>
      </c>
    </row>
    <row r="99" spans="1:7" x14ac:dyDescent="0.4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0</v>
      </c>
    </row>
    <row r="100" spans="1:7" x14ac:dyDescent="0.4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0</v>
      </c>
    </row>
    <row r="101" spans="1:7" x14ac:dyDescent="0.4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0</v>
      </c>
    </row>
    <row r="102" spans="1:7" x14ac:dyDescent="0.4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0</v>
      </c>
    </row>
    <row r="103" spans="1:7" x14ac:dyDescent="0.4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0</v>
      </c>
    </row>
    <row r="104" spans="1:7" x14ac:dyDescent="0.4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0</v>
      </c>
    </row>
    <row r="105" spans="1:7" x14ac:dyDescent="0.4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0</v>
      </c>
    </row>
    <row r="106" spans="1:7" x14ac:dyDescent="0.4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0</v>
      </c>
    </row>
    <row r="107" spans="1:7" x14ac:dyDescent="0.4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0</v>
      </c>
    </row>
    <row r="108" spans="1:7" x14ac:dyDescent="0.4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8">
        <f>ScenarioStat5[[#This Row],[team-1-win]]+ScenarioStat5[[#This Row],[team-2-win]]</f>
        <v>0</v>
      </c>
    </row>
    <row r="109" spans="1:7" x14ac:dyDescent="0.4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9">
        <f>ScenarioStat5[[#This Row],[team-1-win]]+ScenarioStat5[[#This Row],[team-2-win]]</f>
        <v>0</v>
      </c>
    </row>
    <row r="110" spans="1:7" x14ac:dyDescent="0.4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0</v>
      </c>
    </row>
    <row r="111" spans="1:7" x14ac:dyDescent="0.4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1">
        <f>ScenarioStat5[[#This Row],[team-1-win]]+ScenarioStat5[[#This Row],[team-2-win]]</f>
        <v>0</v>
      </c>
    </row>
    <row r="112" spans="1:7" x14ac:dyDescent="0.4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0</v>
      </c>
    </row>
    <row r="113" spans="1:7" x14ac:dyDescent="0.4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0</v>
      </c>
    </row>
    <row r="114" spans="1:7" x14ac:dyDescent="0.4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0</v>
      </c>
    </row>
    <row r="115" spans="1:7" x14ac:dyDescent="0.4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0</v>
      </c>
    </row>
    <row r="116" spans="1:7" x14ac:dyDescent="0.4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0</v>
      </c>
    </row>
    <row r="117" spans="1:7" x14ac:dyDescent="0.4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0</v>
      </c>
    </row>
    <row r="118" spans="1:7" x14ac:dyDescent="0.4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0</v>
      </c>
    </row>
    <row r="119" spans="1:7" x14ac:dyDescent="0.4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0</v>
      </c>
    </row>
    <row r="120" spans="1:7" x14ac:dyDescent="0.4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0</v>
      </c>
    </row>
    <row r="121" spans="1:7" x14ac:dyDescent="0.4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0</v>
      </c>
    </row>
    <row r="122" spans="1:7" x14ac:dyDescent="0.4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0</v>
      </c>
    </row>
    <row r="123" spans="1:7" x14ac:dyDescent="0.4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3">
        <f>ScenarioStat5[[#This Row],[team-1-win]]+ScenarioStat5[[#This Row],[team-2-win]]</f>
        <v>0</v>
      </c>
    </row>
    <row r="124" spans="1:7" x14ac:dyDescent="0.4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4">
        <f>ScenarioStat5[[#This Row],[team-1-win]]+ScenarioStat5[[#This Row],[team-2-win]]</f>
        <v>0</v>
      </c>
    </row>
    <row r="125" spans="1:7" x14ac:dyDescent="0.4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5">
        <f>ScenarioStat5[[#This Row],[team-1-win]]+ScenarioStat5[[#This Row],[team-2-win]]</f>
        <v>0</v>
      </c>
    </row>
    <row r="126" spans="1:7" x14ac:dyDescent="0.4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0</v>
      </c>
    </row>
    <row r="127" spans="1:7" x14ac:dyDescent="0.4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7">
        <f>ScenarioStat5[[#This Row],[team-1-win]]+ScenarioStat5[[#This Row],[team-2-win]]</f>
        <v>0</v>
      </c>
    </row>
    <row r="128" spans="1:7" x14ac:dyDescent="0.4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0</v>
      </c>
    </row>
    <row r="129" spans="1:7" x14ac:dyDescent="0.4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0</v>
      </c>
    </row>
    <row r="130" spans="1:7" x14ac:dyDescent="0.4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0</v>
      </c>
    </row>
    <row r="131" spans="1:7" x14ac:dyDescent="0.4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0</v>
      </c>
    </row>
    <row r="132" spans="1:7" x14ac:dyDescent="0.4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0</v>
      </c>
    </row>
    <row r="133" spans="1:7" x14ac:dyDescent="0.4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0</v>
      </c>
    </row>
    <row r="134" spans="1:7" x14ac:dyDescent="0.4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0</v>
      </c>
    </row>
    <row r="135" spans="1:7" x14ac:dyDescent="0.4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5">
        <f>ScenarioStat5[[#This Row],[team-1-win]]+ScenarioStat5[[#This Row],[team-2-win]]</f>
        <v>0</v>
      </c>
    </row>
    <row r="136" spans="1:7" x14ac:dyDescent="0.4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6">
        <f>ScenarioStat5[[#This Row],[team-1-win]]+ScenarioStat5[[#This Row],[team-2-win]]</f>
        <v>0</v>
      </c>
    </row>
    <row r="137" spans="1:7" x14ac:dyDescent="0.4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0</v>
      </c>
    </row>
    <row r="138" spans="1:7" x14ac:dyDescent="0.4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0</v>
      </c>
    </row>
    <row r="139" spans="1:7" x14ac:dyDescent="0.4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0</v>
      </c>
    </row>
    <row r="140" spans="1:7" x14ac:dyDescent="0.4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0</v>
      </c>
    </row>
    <row r="141" spans="1:7" x14ac:dyDescent="0.4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0</v>
      </c>
    </row>
    <row r="142" spans="1:7" x14ac:dyDescent="0.4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0</v>
      </c>
    </row>
    <row r="143" spans="1:7" x14ac:dyDescent="0.4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0</v>
      </c>
    </row>
    <row r="144" spans="1:7" x14ac:dyDescent="0.4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0</v>
      </c>
    </row>
    <row r="145" spans="1:7" x14ac:dyDescent="0.4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0</v>
      </c>
    </row>
    <row r="146" spans="1:7" x14ac:dyDescent="0.4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6">
        <f>ScenarioStat5[[#This Row],[team-1-win]]+ScenarioStat5[[#This Row],[team-2-win]]</f>
        <v>0</v>
      </c>
    </row>
    <row r="147" spans="1:7" x14ac:dyDescent="0.4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7">
        <f>ScenarioStat5[[#This Row],[team-1-win]]+ScenarioStat5[[#This Row],[team-2-win]]</f>
        <v>0</v>
      </c>
    </row>
    <row r="148" spans="1:7" x14ac:dyDescent="0.4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0</v>
      </c>
    </row>
    <row r="149" spans="1:7" x14ac:dyDescent="0.4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0</v>
      </c>
    </row>
    <row r="150" spans="1:7" x14ac:dyDescent="0.4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0</v>
      </c>
    </row>
    <row r="151" spans="1:7" x14ac:dyDescent="0.4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0</v>
      </c>
    </row>
    <row r="152" spans="1:7" x14ac:dyDescent="0.4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0</v>
      </c>
    </row>
    <row r="153" spans="1:7" x14ac:dyDescent="0.4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0</v>
      </c>
    </row>
    <row r="154" spans="1:7" x14ac:dyDescent="0.4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0</v>
      </c>
    </row>
    <row r="155" spans="1:7" x14ac:dyDescent="0.4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0</v>
      </c>
    </row>
    <row r="156" spans="1:7" x14ac:dyDescent="0.4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0</v>
      </c>
    </row>
    <row r="157" spans="1:7" x14ac:dyDescent="0.4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0</v>
      </c>
    </row>
    <row r="158" spans="1:7" x14ac:dyDescent="0.4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0</v>
      </c>
    </row>
    <row r="159" spans="1:7" x14ac:dyDescent="0.4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0</v>
      </c>
    </row>
    <row r="160" spans="1:7" x14ac:dyDescent="0.4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0</v>
      </c>
    </row>
    <row r="161" spans="1:7" x14ac:dyDescent="0.4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0</v>
      </c>
    </row>
    <row r="162" spans="1:7" x14ac:dyDescent="0.4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0</v>
      </c>
    </row>
    <row r="163" spans="1:7" x14ac:dyDescent="0.4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0</v>
      </c>
    </row>
    <row r="164" spans="1:7" x14ac:dyDescent="0.4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0</v>
      </c>
    </row>
    <row r="165" spans="1:7" x14ac:dyDescent="0.4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0</v>
      </c>
    </row>
    <row r="166" spans="1:7" x14ac:dyDescent="0.4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0</v>
      </c>
    </row>
    <row r="167" spans="1:7" x14ac:dyDescent="0.4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0</v>
      </c>
    </row>
    <row r="168" spans="1:7" x14ac:dyDescent="0.4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8">
        <f>ScenarioStat5[[#This Row],[team-1-win]]+ScenarioStat5[[#This Row],[team-2-win]]</f>
        <v>0</v>
      </c>
    </row>
    <row r="169" spans="1:7" x14ac:dyDescent="0.4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9">
        <f>ScenarioStat5[[#This Row],[team-1-win]]+ScenarioStat5[[#This Row],[team-2-win]]</f>
        <v>0</v>
      </c>
    </row>
    <row r="170" spans="1:7" x14ac:dyDescent="0.4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0</v>
      </c>
    </row>
    <row r="171" spans="1:7" x14ac:dyDescent="0.4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1">
        <f>ScenarioStat5[[#This Row],[team-1-win]]+ScenarioStat5[[#This Row],[team-2-win]]</f>
        <v>0</v>
      </c>
    </row>
    <row r="172" spans="1:7" x14ac:dyDescent="0.4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0</v>
      </c>
    </row>
    <row r="173" spans="1:7" x14ac:dyDescent="0.4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0</v>
      </c>
    </row>
    <row r="174" spans="1:7" x14ac:dyDescent="0.4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4">
        <f>ScenarioStat5[[#This Row],[team-1-win]]+ScenarioStat5[[#This Row],[team-2-win]]</f>
        <v>0</v>
      </c>
    </row>
    <row r="175" spans="1:7" x14ac:dyDescent="0.4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0</v>
      </c>
    </row>
    <row r="176" spans="1:7" x14ac:dyDescent="0.4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0</v>
      </c>
    </row>
    <row r="177" spans="1:7" x14ac:dyDescent="0.4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0</v>
      </c>
    </row>
    <row r="178" spans="1:7" x14ac:dyDescent="0.4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0</v>
      </c>
    </row>
    <row r="179" spans="1:7" x14ac:dyDescent="0.4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0</v>
      </c>
    </row>
    <row r="180" spans="1:7" x14ac:dyDescent="0.4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0</v>
      </c>
    </row>
    <row r="181" spans="1:7" x14ac:dyDescent="0.4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0</v>
      </c>
    </row>
    <row r="182" spans="1:7" x14ac:dyDescent="0.4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0</v>
      </c>
    </row>
    <row r="183" spans="1:7" x14ac:dyDescent="0.4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0</v>
      </c>
    </row>
    <row r="184" spans="1:7" x14ac:dyDescent="0.4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0</v>
      </c>
    </row>
    <row r="185" spans="1:7" x14ac:dyDescent="0.4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0</v>
      </c>
    </row>
    <row r="186" spans="1:7" x14ac:dyDescent="0.4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0</v>
      </c>
    </row>
    <row r="187" spans="1:7" x14ac:dyDescent="0.4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7">
        <f>ScenarioStat5[[#This Row],[team-1-win]]+ScenarioStat5[[#This Row],[team-2-win]]</f>
        <v>0</v>
      </c>
    </row>
    <row r="188" spans="1:7" x14ac:dyDescent="0.4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0</v>
      </c>
    </row>
    <row r="189" spans="1:7" x14ac:dyDescent="0.4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0</v>
      </c>
    </row>
    <row r="190" spans="1:7" x14ac:dyDescent="0.4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0</v>
      </c>
    </row>
    <row r="191" spans="1:7" x14ac:dyDescent="0.4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0</v>
      </c>
    </row>
    <row r="192" spans="1:7" x14ac:dyDescent="0.4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0</v>
      </c>
    </row>
    <row r="193" spans="1:7" x14ac:dyDescent="0.4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0</v>
      </c>
    </row>
    <row r="194" spans="1:7" x14ac:dyDescent="0.4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0</v>
      </c>
    </row>
    <row r="195" spans="1:7" x14ac:dyDescent="0.4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0</v>
      </c>
    </row>
    <row r="196" spans="1:7" x14ac:dyDescent="0.4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0</v>
      </c>
    </row>
    <row r="197" spans="1:7" x14ac:dyDescent="0.4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0</v>
      </c>
    </row>
    <row r="198" spans="1:7" x14ac:dyDescent="0.4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8">
        <f>ScenarioStat5[[#This Row],[team-1-win]]+ScenarioStat5[[#This Row],[team-2-win]]</f>
        <v>0</v>
      </c>
    </row>
    <row r="199" spans="1:7" x14ac:dyDescent="0.4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9">
        <f>ScenarioStat5[[#This Row],[team-1-win]]+ScenarioStat5[[#This Row],[team-2-win]]</f>
        <v>0</v>
      </c>
    </row>
    <row r="200" spans="1:7" x14ac:dyDescent="0.4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0">
        <f>ScenarioStat5[[#This Row],[team-1-win]]+ScenarioStat5[[#This Row],[team-2-win]]</f>
        <v>0</v>
      </c>
    </row>
    <row r="201" spans="1:7" x14ac:dyDescent="0.4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0</v>
      </c>
    </row>
    <row r="202" spans="1:7" x14ac:dyDescent="0.4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0</v>
      </c>
    </row>
    <row r="203" spans="1:7" x14ac:dyDescent="0.4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0</v>
      </c>
    </row>
    <row r="204" spans="1:7" x14ac:dyDescent="0.4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0</v>
      </c>
    </row>
    <row r="205" spans="1:7" x14ac:dyDescent="0.4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0</v>
      </c>
    </row>
    <row r="206" spans="1:7" x14ac:dyDescent="0.4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0</v>
      </c>
    </row>
    <row r="207" spans="1:7" x14ac:dyDescent="0.4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7">
        <f>ScenarioStat5[[#This Row],[team-1-win]]+ScenarioStat5[[#This Row],[team-2-win]]</f>
        <v>0</v>
      </c>
    </row>
    <row r="208" spans="1:7" x14ac:dyDescent="0.4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0</v>
      </c>
    </row>
    <row r="209" spans="1:7" x14ac:dyDescent="0.4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0</v>
      </c>
    </row>
    <row r="210" spans="1:7" x14ac:dyDescent="0.4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0</v>
      </c>
    </row>
    <row r="211" spans="1:7" x14ac:dyDescent="0.4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0</v>
      </c>
    </row>
    <row r="212" spans="1:7" x14ac:dyDescent="0.4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0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H18"/>
  <sheetViews>
    <sheetView tabSelected="1" workbookViewId="0">
      <selection activeCell="H9" sqref="H9"/>
    </sheetView>
  </sheetViews>
  <sheetFormatPr defaultRowHeight="14.6" x14ac:dyDescent="0.4"/>
  <cols>
    <col min="1" max="1" width="16" bestFit="1" customWidth="1"/>
    <col min="2" max="2" width="8.765625" bestFit="1" customWidth="1"/>
    <col min="3" max="3" width="7.3828125" bestFit="1" customWidth="1"/>
    <col min="4" max="4" width="10.84375" style="3" bestFit="1" customWidth="1"/>
    <col min="5" max="5" width="17.921875" bestFit="1" customWidth="1"/>
    <col min="6" max="6" width="8.69140625" customWidth="1"/>
    <col min="7" max="7" width="7.84375" bestFit="1" customWidth="1"/>
    <col min="8" max="8" width="7.765625" style="3" bestFit="1" customWidth="1"/>
    <col min="9" max="9" width="7.3828125" bestFit="1" customWidth="1"/>
  </cols>
  <sheetData>
    <row r="1" spans="1:8" x14ac:dyDescent="0.4">
      <c r="A1" t="s">
        <v>106</v>
      </c>
      <c r="B1" t="s">
        <v>58</v>
      </c>
      <c r="C1" t="s">
        <v>79</v>
      </c>
      <c r="D1" s="3" t="s">
        <v>80</v>
      </c>
      <c r="E1" t="s">
        <v>404</v>
      </c>
    </row>
    <row r="2" spans="1:8" x14ac:dyDescent="0.4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292</v>
      </c>
      <c r="C2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149</v>
      </c>
      <c r="D2" s="3">
        <f>HeroStatistics[[#This Row],[wins]]/HeroStatistics[[#This Row],[battles]]</f>
        <v>0.51027397260273977</v>
      </c>
      <c r="E2" s="39">
        <f>paragon!X11</f>
        <v>2.4691780821917808</v>
      </c>
      <c r="H2"/>
    </row>
    <row r="3" spans="1:8" x14ac:dyDescent="0.4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292</v>
      </c>
      <c r="C3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148</v>
      </c>
      <c r="D3" s="3">
        <f>HeroStatistics[[#This Row],[wins]]/HeroStatistics[[#This Row],[battles]]</f>
        <v>0.50684931506849318</v>
      </c>
      <c r="E3" s="39">
        <f>highlander!V9</f>
        <v>1.9897260273972603</v>
      </c>
      <c r="H3"/>
    </row>
    <row r="4" spans="1:8" x14ac:dyDescent="0.4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285</v>
      </c>
      <c r="C4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89</v>
      </c>
      <c r="D4" s="3">
        <f>HeroStatistics[[#This Row],[wins]]/HeroStatistics[[#This Row],[battles]]</f>
        <v>0.31228070175438599</v>
      </c>
      <c r="E4" s="39">
        <f>druid!V9</f>
        <v>1.9438596491228071</v>
      </c>
      <c r="H4"/>
    </row>
    <row r="5" spans="1:8" x14ac:dyDescent="0.4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285</v>
      </c>
      <c r="C5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135</v>
      </c>
      <c r="D5" s="3">
        <f>HeroStatistics[[#This Row],[wins]]/HeroStatistics[[#This Row],[battles]]</f>
        <v>0.47368421052631576</v>
      </c>
      <c r="E5" s="39">
        <f>oracle!V9</f>
        <v>2.0596491228070177</v>
      </c>
      <c r="H5"/>
    </row>
    <row r="6" spans="1:8" x14ac:dyDescent="0.4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285</v>
      </c>
      <c r="C6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144</v>
      </c>
      <c r="D6" s="3">
        <f>HeroStatistics[[#This Row],[wins]]/HeroStatistics[[#This Row],[battles]]</f>
        <v>0.50526315789473686</v>
      </c>
      <c r="E6" s="39">
        <f>avatar!V9</f>
        <v>2.3719298245614033</v>
      </c>
      <c r="H6"/>
    </row>
    <row r="7" spans="1:8" x14ac:dyDescent="0.4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283</v>
      </c>
      <c r="C7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146</v>
      </c>
      <c r="D7" s="3">
        <f>HeroStatistics[[#This Row],[wins]]/HeroStatistics[[#This Row],[battles]]</f>
        <v>0.51590106007067138</v>
      </c>
      <c r="E7" s="39">
        <f>shadow!V9</f>
        <v>2.0318021201413425</v>
      </c>
      <c r="H7"/>
    </row>
    <row r="8" spans="1:8" x14ac:dyDescent="0.4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283</v>
      </c>
      <c r="C8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120</v>
      </c>
      <c r="D8" s="3">
        <f>HeroStatistics[[#This Row],[wins]]/HeroStatistics[[#This Row],[battles]]</f>
        <v>0.42402826855123676</v>
      </c>
      <c r="E8" s="39">
        <f>lightbringer!V9</f>
        <v>1.8091872791519434</v>
      </c>
      <c r="H8"/>
    </row>
    <row r="9" spans="1:8" x14ac:dyDescent="0.4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283</v>
      </c>
      <c r="C9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Row],[hero]])+COUNTIF(Scenario3[winner1],HeroStatistics[[#This Row],[hero]])+COUNTIF(Scenario4[winner1],HeroStatistics[[#This Row],[hero]])+COUNTIF(Scenario5[winner1],HeroStatistics[[#This Row],[hero]])+COUNTIF(Scenario5[winner2],HeroStatistics[[#This Row],[hero]])</f>
        <v>115</v>
      </c>
      <c r="D9" s="3">
        <f>HeroStatistics[[#This Row],[wins]]/HeroStatistics[[#This Row],[battles]]</f>
        <v>0.40636042402826855</v>
      </c>
      <c r="E9" s="39">
        <f>avenger!X11</f>
        <v>2.4452296819787986</v>
      </c>
      <c r="H9"/>
    </row>
    <row r="10" spans="1:8" x14ac:dyDescent="0.4">
      <c r="H10"/>
    </row>
    <row r="11" spans="1:8" x14ac:dyDescent="0.4">
      <c r="G11" s="17"/>
      <c r="H11"/>
    </row>
    <row r="12" spans="1:8" x14ac:dyDescent="0.4">
      <c r="H12"/>
    </row>
    <row r="13" spans="1:8" x14ac:dyDescent="0.4">
      <c r="H13"/>
    </row>
    <row r="14" spans="1:8" x14ac:dyDescent="0.4">
      <c r="G14" s="17"/>
      <c r="H14"/>
    </row>
    <row r="15" spans="1:8" x14ac:dyDescent="0.4">
      <c r="H15"/>
    </row>
    <row r="16" spans="1:8" x14ac:dyDescent="0.4">
      <c r="H16"/>
    </row>
    <row r="17" spans="8:8" x14ac:dyDescent="0.4">
      <c r="H17"/>
    </row>
    <row r="18" spans="8:8" x14ac:dyDescent="0.4">
      <c r="H18"/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topLeftCell="A108" workbookViewId="0">
      <selection activeCell="I8" sqref="I8"/>
    </sheetView>
  </sheetViews>
  <sheetFormatPr defaultRowHeight="14.6" x14ac:dyDescent="0.4"/>
  <cols>
    <col min="1" max="1" width="21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921875" bestFit="1" customWidth="1"/>
    <col min="10" max="10" width="11.84375" bestFit="1" customWidth="1"/>
    <col min="11" max="11" width="3.84375" customWidth="1"/>
    <col min="12" max="12" width="21.152343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92187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2"/>
      <c r="J1" s="43"/>
      <c r="L1" s="41" t="s">
        <v>392</v>
      </c>
      <c r="M1" s="42"/>
      <c r="N1" s="42"/>
      <c r="O1" s="42"/>
      <c r="P1" s="42"/>
      <c r="Q1" s="42"/>
      <c r="R1" s="42"/>
      <c r="S1" s="42"/>
      <c r="T1" s="42"/>
      <c r="U1" s="43"/>
      <c r="W1" t="s">
        <v>174</v>
      </c>
      <c r="X1" s="3" t="s">
        <v>175</v>
      </c>
    </row>
    <row r="2" spans="1:24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162</v>
      </c>
      <c r="I2" s="20" t="s">
        <v>163</v>
      </c>
      <c r="J2" s="22" t="s">
        <v>164</v>
      </c>
      <c r="L2" s="19" t="s">
        <v>109</v>
      </c>
      <c r="M2" s="20" t="s">
        <v>110</v>
      </c>
      <c r="N2" s="20" t="s">
        <v>79</v>
      </c>
      <c r="O2" s="21" t="s">
        <v>117</v>
      </c>
      <c r="P2" s="21" t="s">
        <v>118</v>
      </c>
      <c r="Q2" s="20"/>
      <c r="R2" s="20" t="s">
        <v>161</v>
      </c>
      <c r="S2" s="20" t="s">
        <v>162</v>
      </c>
      <c r="T2" s="20" t="s">
        <v>163</v>
      </c>
      <c r="U2" s="22" t="s">
        <v>164</v>
      </c>
      <c r="W2" t="s">
        <v>398</v>
      </c>
      <c r="X2" s="3">
        <f>H4/SUM(ParagonEquip[spear])</f>
        <v>0.40753424657534248</v>
      </c>
    </row>
    <row r="3" spans="1:24" x14ac:dyDescent="0.4">
      <c r="A3" s="19" t="s">
        <v>54</v>
      </c>
      <c r="B3" s="20">
        <f>M3+M24+M45+M66+M87+M108</f>
        <v>208</v>
      </c>
      <c r="C3" s="20">
        <f>N3+N24+N45+N66+N87+N108</f>
        <v>118</v>
      </c>
      <c r="D3" s="21">
        <f>IF(SUM(ParagonAbilities1[[#This Row],[takes]]) &gt; 0,ParagonAbilities1[[#This Row],[takes]]/SUM(ParagonAbilities1[takes]),0)</f>
        <v>0.71232876712328763</v>
      </c>
      <c r="E3" s="21">
        <f>IF(ParagonAbilities1[[#This Row],[takes]]&gt;0,ParagonAbilities1[[#This Row],[wins]]/ParagonAbilities1[[#This Row],[takes]],0)</f>
        <v>0.56730769230769229</v>
      </c>
      <c r="F3" s="20"/>
      <c r="G3" s="20">
        <v>1</v>
      </c>
      <c r="H3" s="20">
        <f>S3+S24+S45+S66+S87+S108</f>
        <v>106</v>
      </c>
      <c r="I3" s="20">
        <f>T3+T24+T45+T66+T87+T108</f>
        <v>242</v>
      </c>
      <c r="J3" s="22">
        <f>U3+U24+U45+U66+U87+U108</f>
        <v>163</v>
      </c>
      <c r="L3" s="19" t="s">
        <v>54</v>
      </c>
      <c r="M3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95</v>
      </c>
      <c r="N3" s="20">
        <f>COUNTIF(Scenario0[winner1-ability1],ParagonAbilities1Scenario0[[#This Row],[ability]])+COUNTIF(Scenario0[winner2-ability1],ParagonAbilities1Scenario0[[#This Row],[ability]])</f>
        <v>50</v>
      </c>
      <c r="O3" s="21">
        <f>IF(SUM(ParagonAbilities1Scenario0[[#This Row],[takes]]) &gt; 0,ParagonAbilities1Scenario0[[#This Row],[takes]]/SUM(ParagonAbilities1Scenario0[takes]),0)</f>
        <v>0.90476190476190477</v>
      </c>
      <c r="P3" s="21">
        <f>IF(ParagonAbilities1Scenario0[[#This Row],[takes]]&gt;0,ParagonAbilities1Scenario0[[#This Row],[wins]]/ParagonAbilities1Scenario0[[#This Row],[takes]],0)</f>
        <v>0.52631578947368418</v>
      </c>
      <c r="Q3" s="20"/>
      <c r="R3" s="20">
        <v>1</v>
      </c>
      <c r="S3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46</v>
      </c>
      <c r="T3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102</v>
      </c>
      <c r="U3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75</v>
      </c>
      <c r="W3" t="s">
        <v>399</v>
      </c>
      <c r="X3" s="18">
        <f>H5/SUM(ParagonEquip[spear])</f>
        <v>0.22945205479452055</v>
      </c>
    </row>
    <row r="4" spans="1:24" x14ac:dyDescent="0.4">
      <c r="A4" s="19" t="s">
        <v>111</v>
      </c>
      <c r="B4" s="20">
        <f t="shared" ref="B4:B5" si="0">M4+M25+M46+M67+M88+M109</f>
        <v>22</v>
      </c>
      <c r="C4" s="20">
        <f t="shared" ref="C4:C5" si="1">N4+N25+N46+N67+N88+N109</f>
        <v>10</v>
      </c>
      <c r="D4" s="21">
        <f>IF(SUM(ParagonAbilities1[[#This Row],[takes]]) &gt; 0,ParagonAbilities1[[#This Row],[takes]]/SUM(ParagonAbilities1[takes]),0)</f>
        <v>7.5342465753424653E-2</v>
      </c>
      <c r="E4" s="21">
        <f>IF(ParagonAbilities1[[#This Row],[takes]]&gt;0,ParagonAbilities1[[#This Row],[wins]]/ParagonAbilities1[[#This Row],[takes]],0)</f>
        <v>0.45454545454545453</v>
      </c>
      <c r="F4" s="20"/>
      <c r="G4" s="20">
        <v>2</v>
      </c>
      <c r="H4" s="20">
        <f t="shared" ref="H4:H5" si="2">S4+S25+S46+S67+S88+S109</f>
        <v>119</v>
      </c>
      <c r="I4" s="20">
        <f t="shared" ref="I4:I5" si="3">T4+T25+T46+T67+T88+T109</f>
        <v>14</v>
      </c>
      <c r="J4" s="22">
        <f t="shared" ref="J4:J5" si="4">U4+U25+U46+U67+U88+U109</f>
        <v>43</v>
      </c>
      <c r="L4" s="19" t="s">
        <v>111</v>
      </c>
      <c r="M4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10</v>
      </c>
      <c r="N4" s="20">
        <f>COUNTIF(Scenario0[winner1-ability1],ParagonAbilities1Scenario0[[#This Row],[ability]])+COUNTIF(Scenario0[winner2-ability1],ParagonAbilities1Scenario0[[#This Row],[ability]])</f>
        <v>5</v>
      </c>
      <c r="O4" s="21">
        <f>IF(SUM(ParagonAbilities1Scenario0[[#This Row],[takes]]) &gt; 0,ParagonAbilities1Scenario0[[#This Row],[takes]]/SUM(ParagonAbilities1Scenario0[takes]),0)</f>
        <v>9.5238095238095233E-2</v>
      </c>
      <c r="P4" s="21">
        <f>IF(ParagonAbilities1Scenario0[[#This Row],[takes]]&gt;0,ParagonAbilities1Scenario0[[#This Row],[wins]]/ParagonAbilities1Scenario0[[#This Row],[takes]],0)</f>
        <v>0.5</v>
      </c>
      <c r="Q4" s="20"/>
      <c r="R4" s="20">
        <v>2</v>
      </c>
      <c r="S4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42</v>
      </c>
      <c r="T4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3</v>
      </c>
      <c r="U4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15</v>
      </c>
      <c r="W4" t="s">
        <v>400</v>
      </c>
      <c r="X4" s="3">
        <f>ParagonEquip[[#This Row],[shield]]/SUM(ParagonEquip[shield])</f>
        <v>4.7945205479452052E-2</v>
      </c>
    </row>
    <row r="5" spans="1:24" x14ac:dyDescent="0.4">
      <c r="A5" s="19" t="s">
        <v>112</v>
      </c>
      <c r="B5" s="20">
        <f t="shared" si="0"/>
        <v>62</v>
      </c>
      <c r="C5" s="20">
        <f t="shared" si="1"/>
        <v>21</v>
      </c>
      <c r="D5" s="21">
        <f>IF(SUM(ParagonAbilities1[[#This Row],[takes]]) &gt; 0,ParagonAbilities1[[#This Row],[takes]]/SUM(ParagonAbilities1[takes]),0)</f>
        <v>0.21232876712328766</v>
      </c>
      <c r="E5" s="21">
        <f>IF(ParagonAbilities1[[#This Row],[takes]]&gt;0,ParagonAbilities1[[#This Row],[wins]]/ParagonAbilities1[[#This Row],[takes]],0)</f>
        <v>0.33870967741935482</v>
      </c>
      <c r="F5" s="20"/>
      <c r="G5" s="20">
        <v>3</v>
      </c>
      <c r="H5" s="20">
        <f t="shared" si="2"/>
        <v>67</v>
      </c>
      <c r="I5" s="20">
        <f t="shared" si="3"/>
        <v>36</v>
      </c>
      <c r="J5" s="22">
        <f t="shared" si="4"/>
        <v>86</v>
      </c>
      <c r="L5" s="19" t="s">
        <v>112</v>
      </c>
      <c r="M5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 s="20">
        <f>COUNTIF(Scenario0[winner1-ability1],ParagonAbilities1Scenario0[[#This Row],[ability]])+COUNTIF(Scenario0[winner2-ability1],ParagonAbilities1Scenario0[[#This Row],[ability]])</f>
        <v>0</v>
      </c>
      <c r="O5" s="21">
        <f>IF(SUM(ParagonAbilities1Scenario0[[#This Row],[takes]]) &gt; 0,ParagonAbilities1Scenario0[[#This Row],[takes]]/SUM(ParagonAbilities1Scenario0[takes]),0)</f>
        <v>0</v>
      </c>
      <c r="P5" s="21">
        <f>IF(ParagonAbilities1Scenario0[[#This Row],[takes]]&gt;0,ParagonAbilities1Scenario0[[#This Row],[wins]]/ParagonAbilities1Scenario0[[#This Row],[takes]],0)</f>
        <v>0</v>
      </c>
      <c r="Q5" s="20"/>
      <c r="R5" s="20">
        <v>3</v>
      </c>
      <c r="S5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17</v>
      </c>
      <c r="T5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5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15</v>
      </c>
      <c r="W5" t="s">
        <v>401</v>
      </c>
      <c r="X5" s="18">
        <f>ParagonEquip[[#This Row],[shield]]/SUM(ParagonEquip[shield])</f>
        <v>0.12328767123287671</v>
      </c>
    </row>
    <row r="6" spans="1:24" x14ac:dyDescent="0.4">
      <c r="A6" s="19"/>
      <c r="B6" s="20"/>
      <c r="C6" s="20"/>
      <c r="D6" s="21"/>
      <c r="E6" s="21"/>
      <c r="F6" s="20"/>
      <c r="G6" s="20"/>
      <c r="H6" s="20"/>
      <c r="I6" s="20"/>
      <c r="J6" s="22"/>
      <c r="L6" s="19"/>
      <c r="M6" s="20"/>
      <c r="N6" s="20"/>
      <c r="O6" s="21"/>
      <c r="P6" s="21"/>
      <c r="Q6" s="20"/>
      <c r="R6" s="20"/>
      <c r="S6" s="20"/>
      <c r="T6" s="20"/>
      <c r="U6" s="22"/>
      <c r="W6" t="s">
        <v>179</v>
      </c>
      <c r="X6" s="3">
        <f>J4/SUM(ParagonEquip[chestpiece])</f>
        <v>0.14726027397260275</v>
      </c>
    </row>
    <row r="7" spans="1:24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0"/>
      <c r="J7" s="22"/>
      <c r="L7" s="23" t="s">
        <v>109</v>
      </c>
      <c r="M7" s="9" t="s">
        <v>110</v>
      </c>
      <c r="N7" s="9" t="s">
        <v>79</v>
      </c>
      <c r="O7" s="10" t="s">
        <v>117</v>
      </c>
      <c r="P7" s="10" t="s">
        <v>118</v>
      </c>
      <c r="Q7" s="20"/>
      <c r="R7" s="20"/>
      <c r="S7" s="20"/>
      <c r="T7" s="20"/>
      <c r="U7" s="22"/>
      <c r="W7" t="s">
        <v>180</v>
      </c>
      <c r="X7" s="18">
        <f>J5/SUM(ParagonEquip[chestpiece])</f>
        <v>0.29452054794520549</v>
      </c>
    </row>
    <row r="8" spans="1:24" x14ac:dyDescent="0.4">
      <c r="A8" s="24" t="s">
        <v>55</v>
      </c>
      <c r="B8" s="2">
        <f>M8+M29+M50+M71+M92+M113</f>
        <v>36</v>
      </c>
      <c r="C8" s="2">
        <f>N8+N29+N50+N71+N92+N113</f>
        <v>25</v>
      </c>
      <c r="D8" s="13">
        <f>IF(SUM(ParagonAbilities2[[#This Row],[takes]]) &gt; 0,ParagonAbilities2[[#This Row],[takes]]/SUM(ParagonAbilities2[takes]),0)</f>
        <v>0.20338983050847459</v>
      </c>
      <c r="E8" s="13">
        <f>IF(ParagonAbilities2[[#This Row],[takes]]&gt;0,ParagonAbilities2[[#This Row],[wins]]/ParagonAbilities2[[#This Row],[takes]],0)</f>
        <v>0.69444444444444442</v>
      </c>
      <c r="F8" s="20"/>
      <c r="G8" s="20"/>
      <c r="H8" s="20"/>
      <c r="I8" s="20"/>
      <c r="J8" s="22"/>
      <c r="L8" s="24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24</v>
      </c>
      <c r="N8" s="2">
        <f>COUNTIF(Scenario0[winner1-ability2],ParagonAbilities2Scenario0[[#This Row],[ability]])+COUNTIF(Scenario0[winner2-ability2],ParagonAbilities2Scenario0[[#This Row],[ability]])</f>
        <v>14</v>
      </c>
      <c r="O8" s="13">
        <f>IF(SUM(ParagonAbilities2Scenario0[[#This Row],[takes]]) &gt; 0,ParagonAbilities2Scenario0[[#This Row],[takes]]/SUM(ParagonAbilities2Scenario0[takes]),0)</f>
        <v>0.42857142857142855</v>
      </c>
      <c r="P8" s="13">
        <f>IF(ParagonAbilities2Scenario0[[#This Row],[takes]]&gt;0,ParagonAbilities2Scenario0[[#This Row],[wins]]/ParagonAbilities2Scenario0[[#This Row],[takes]],0)</f>
        <v>0.58333333333333337</v>
      </c>
      <c r="Q8" s="20"/>
      <c r="R8" s="20"/>
      <c r="S8" s="20"/>
      <c r="T8" s="20"/>
      <c r="U8" s="22"/>
      <c r="W8" t="s">
        <v>176</v>
      </c>
      <c r="X8" s="3">
        <f>SUM(ParagonAbilities2[takes])/SUM(ParagonAbilities1[takes])</f>
        <v>0.60616438356164382</v>
      </c>
    </row>
    <row r="9" spans="1:24" x14ac:dyDescent="0.4">
      <c r="A9" s="19" t="s">
        <v>83</v>
      </c>
      <c r="B9" s="2">
        <f t="shared" ref="B9:B10" si="5">M9+M30+M51+M72+M93+M114</f>
        <v>128</v>
      </c>
      <c r="C9" s="2">
        <f t="shared" ref="C9:C10" si="6">N9+N30+N51+N72+N93+N114</f>
        <v>59</v>
      </c>
      <c r="D9" s="21">
        <f>IF(SUM(ParagonAbilities2[[#This Row],[takes]]) &gt; 0,ParagonAbilities2[[#This Row],[takes]]/SUM(ParagonAbilities2[takes]),0)</f>
        <v>0.7231638418079096</v>
      </c>
      <c r="E9" s="21">
        <f>IF(ParagonAbilities2[[#This Row],[takes]]&gt;0,ParagonAbilities2[[#This Row],[wins]]/ParagonAbilities2[[#This Row],[takes]],0)</f>
        <v>0.4609375</v>
      </c>
      <c r="F9" s="20"/>
      <c r="G9" s="20"/>
      <c r="H9" s="20"/>
      <c r="I9" s="20"/>
      <c r="J9" s="22"/>
      <c r="L9" s="19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26</v>
      </c>
      <c r="N9" s="2">
        <f>COUNTIF(Scenario0[winner1-ability2],ParagonAbilities2Scenario0[[#This Row],[ability]])+COUNTIF(Scenario0[winner2-ability2],ParagonAbilities2Scenario0[[#This Row],[ability]])</f>
        <v>15</v>
      </c>
      <c r="O9" s="21">
        <f>IF(SUM(ParagonAbilities2Scenario0[[#This Row],[takes]]) &gt; 0,ParagonAbilities2Scenario0[[#This Row],[takes]]/SUM(ParagonAbilities2Scenario0[takes]),0)</f>
        <v>0.4642857142857143</v>
      </c>
      <c r="P9" s="21">
        <f>IF(ParagonAbilities2Scenario0[[#This Row],[takes]]&gt;0,ParagonAbilities2Scenario0[[#This Row],[wins]]/ParagonAbilities2Scenario0[[#This Row],[takes]],0)</f>
        <v>0.57692307692307687</v>
      </c>
      <c r="Q9" s="20"/>
      <c r="R9" s="20"/>
      <c r="S9" s="20"/>
      <c r="T9" s="20"/>
      <c r="U9" s="22"/>
      <c r="W9" t="s">
        <v>177</v>
      </c>
      <c r="X9" s="3">
        <f>SUM(ParagonAbilities3[takes])/SUM(ParagonAbilities1[takes])</f>
        <v>0.37328767123287671</v>
      </c>
    </row>
    <row r="10" spans="1:24" x14ac:dyDescent="0.4">
      <c r="A10" s="25" t="s">
        <v>113</v>
      </c>
      <c r="B10" s="2">
        <f t="shared" si="5"/>
        <v>13</v>
      </c>
      <c r="C10" s="2">
        <f t="shared" si="6"/>
        <v>7</v>
      </c>
      <c r="D10" s="14">
        <f>IF(SUM(ParagonAbilities2[[#This Row],[takes]]) &gt; 0,ParagonAbilities2[[#This Row],[takes]]/SUM(ParagonAbilities2[takes]),0)</f>
        <v>7.3446327683615822E-2</v>
      </c>
      <c r="E10" s="14">
        <f>IF(ParagonAbilities2[[#This Row],[takes]]&gt;0,ParagonAbilities2[[#This Row],[wins]]/ParagonAbilities2[[#This Row],[takes]],0)</f>
        <v>0.53846153846153844</v>
      </c>
      <c r="F10" s="20"/>
      <c r="G10" s="20"/>
      <c r="H10" s="20"/>
      <c r="I10" s="20"/>
      <c r="J10" s="22"/>
      <c r="L10" s="25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6</v>
      </c>
      <c r="N10" s="2">
        <f>COUNTIF(Scenario0[winner1-ability2],ParagonAbilities2Scenario0[[#This Row],[ability]])+COUNTIF(Scenario0[winner2-ability2],ParagonAbilities2Scenario0[[#This Row],[ability]])</f>
        <v>4</v>
      </c>
      <c r="O10" s="14">
        <f>IF(SUM(ParagonAbilities2Scenario0[[#This Row],[takes]]) &gt; 0,ParagonAbilities2Scenario0[[#This Row],[takes]]/SUM(ParagonAbilities2Scenario0[takes]),0)</f>
        <v>0.10714285714285714</v>
      </c>
      <c r="P10" s="14">
        <f>IF(ParagonAbilities2Scenario0[[#This Row],[takes]]&gt;0,ParagonAbilities2Scenario0[[#This Row],[wins]]/ParagonAbilities2Scenario0[[#This Row],[takes]],0)</f>
        <v>0.66666666666666663</v>
      </c>
      <c r="Q10" s="20"/>
      <c r="R10" s="20"/>
      <c r="S10" s="20"/>
      <c r="T10" s="20"/>
      <c r="U10" s="22"/>
      <c r="W10" t="s">
        <v>178</v>
      </c>
      <c r="X10" s="18">
        <f>SUM(ParagonAbilities4[takes])/SUM(ParagonAbilities1[takes])</f>
        <v>0.23972602739726026</v>
      </c>
    </row>
    <row r="11" spans="1:24" x14ac:dyDescent="0.4">
      <c r="A11" s="19"/>
      <c r="B11" s="20"/>
      <c r="C11" s="20"/>
      <c r="D11" s="21"/>
      <c r="E11" s="21"/>
      <c r="F11" s="20"/>
      <c r="G11" s="20"/>
      <c r="H11" s="20"/>
      <c r="I11" s="20"/>
      <c r="J11" s="22"/>
      <c r="L11" s="19"/>
      <c r="M11" s="20"/>
      <c r="N11" s="20"/>
      <c r="O11" s="21"/>
      <c r="P11" s="21"/>
      <c r="Q11" s="20"/>
      <c r="R11" s="20"/>
      <c r="S11" s="20"/>
      <c r="T11" s="20"/>
      <c r="U11" s="22"/>
      <c r="W11" t="s">
        <v>404</v>
      </c>
      <c r="X11" s="39">
        <f>(SUM(ParagonAbilities2[takes])+SUM(ParagonAbilities3[takes])+SUM(ParagonAbilities4[takes])+SUM(H4:H5)+SUM(I4:I5)+SUM(J4:J5))/SUM(ParagonAbilities1[takes])</f>
        <v>2.4691780821917808</v>
      </c>
    </row>
    <row r="12" spans="1:24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0"/>
      <c r="J12" s="22"/>
      <c r="L12" s="23" t="s">
        <v>109</v>
      </c>
      <c r="M12" s="9" t="s">
        <v>110</v>
      </c>
      <c r="N12" s="9" t="s">
        <v>79</v>
      </c>
      <c r="O12" s="10" t="s">
        <v>117</v>
      </c>
      <c r="P12" s="10" t="s">
        <v>118</v>
      </c>
      <c r="Q12" s="20"/>
      <c r="R12" s="20"/>
      <c r="S12" s="20"/>
      <c r="T12" s="20"/>
      <c r="U12" s="22"/>
    </row>
    <row r="13" spans="1:24" x14ac:dyDescent="0.4">
      <c r="A13" s="26" t="s">
        <v>114</v>
      </c>
      <c r="B13" s="1">
        <f>M13+M34+M55+M76+M97+M118</f>
        <v>23</v>
      </c>
      <c r="C13" s="1">
        <f>N13+N34+N55+N76+N97+N118</f>
        <v>15</v>
      </c>
      <c r="D13" s="15">
        <f>IF(SUM(ParagonAbilities3[[#This Row],[takes]]) &gt; 0,ParagonAbilities3[[#This Row],[takes]]/SUM(ParagonAbilities3[takes]),0)</f>
        <v>0.21100917431192662</v>
      </c>
      <c r="E13" s="15">
        <f>IF(ParagonAbilities3[[#This Row],[takes]]&gt;0,ParagonAbilities3[[#This Row],[wins]]/ParagonAbilities3[[#This Row],[takes]],0)</f>
        <v>0.65217391304347827</v>
      </c>
      <c r="F13" s="20"/>
      <c r="G13" s="20"/>
      <c r="H13" s="20"/>
      <c r="I13" s="20"/>
      <c r="J13" s="22"/>
      <c r="L13" s="26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9</v>
      </c>
      <c r="N13" s="1">
        <f>COUNTIF(Scenario0[winner1-ability3],ParagonAbilities3Scenario0[[#This Row],[ability]])+COUNTIF(Scenario0[winner2-ability3],ParagonAbilities3Scenario0[[#This Row],[ability]])</f>
        <v>7</v>
      </c>
      <c r="O13" s="15">
        <f>IF(SUM(ParagonAbilities3Scenario0[[#This Row],[takes]]) &gt; 0,ParagonAbilities3Scenario0[[#This Row],[takes]]/SUM(ParagonAbilities3Scenario0[takes]),0)</f>
        <v>0.47368421052631576</v>
      </c>
      <c r="P13" s="15">
        <f>IF(ParagonAbilities3Scenario0[[#This Row],[takes]]&gt;0,ParagonAbilities3Scenario0[[#This Row],[wins]]/ParagonAbilities3Scenario0[[#This Row],[takes]],0)</f>
        <v>0.77777777777777779</v>
      </c>
      <c r="Q13" s="20"/>
      <c r="R13" s="20"/>
      <c r="S13" s="20"/>
      <c r="T13" s="20"/>
      <c r="U13" s="22"/>
    </row>
    <row r="14" spans="1:24" x14ac:dyDescent="0.4">
      <c r="A14" s="24" t="s">
        <v>105</v>
      </c>
      <c r="B14" s="2">
        <f t="shared" ref="B14:B15" si="7">M14+M35+M56+M77+M98+M119</f>
        <v>36</v>
      </c>
      <c r="C14" s="2">
        <f t="shared" ref="C14:C15" si="8">N14+N35+N56+N77+N98+N119</f>
        <v>18</v>
      </c>
      <c r="D14" s="13">
        <f>IF(SUM(ParagonAbilities3[[#This Row],[takes]]) &gt; 0,ParagonAbilities3[[#This Row],[takes]]/SUM(ParagonAbilities3[takes]),0)</f>
        <v>0.33027522935779818</v>
      </c>
      <c r="E14" s="13">
        <f>IF(ParagonAbilities3[[#This Row],[takes]]&gt;0,ParagonAbilities3[[#This Row],[wins]]/ParagonAbilities3[[#This Row],[takes]],0)</f>
        <v>0.5</v>
      </c>
      <c r="F14" s="20"/>
      <c r="G14" s="20"/>
      <c r="H14" s="20"/>
      <c r="I14" s="20"/>
      <c r="J14" s="22"/>
      <c r="L14" s="24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3</v>
      </c>
      <c r="N14" s="2">
        <f>COUNTIF(Scenario0[winner1-ability3],ParagonAbilities3Scenario0[[#This Row],[ability]])+COUNTIF(Scenario0[winner2-ability3],ParagonAbilities3Scenario0[[#This Row],[ability]])</f>
        <v>0</v>
      </c>
      <c r="O14" s="13">
        <f>IF(SUM(ParagonAbilities3Scenario0[[#This Row],[takes]]) &gt; 0,ParagonAbilities3Scenario0[[#This Row],[takes]]/SUM(ParagonAbilities3Scenario0[takes]),0)</f>
        <v>0.15789473684210525</v>
      </c>
      <c r="P14" s="13">
        <f>IF(ParagonAbilities3Scenario0[[#This Row],[takes]]&gt;0,ParagonAbilities3Scenario0[[#This Row],[wins]]/ParagonAbilities3Scenario0[[#This Row],[takes]],0)</f>
        <v>0</v>
      </c>
      <c r="Q14" s="20"/>
      <c r="R14" s="20"/>
      <c r="S14" s="20"/>
      <c r="T14" s="20"/>
      <c r="U14" s="22"/>
    </row>
    <row r="15" spans="1:24" x14ac:dyDescent="0.4">
      <c r="A15" s="27" t="s">
        <v>97</v>
      </c>
      <c r="B15" s="1">
        <f t="shared" si="7"/>
        <v>50</v>
      </c>
      <c r="C15" s="1">
        <f t="shared" si="8"/>
        <v>17</v>
      </c>
      <c r="D15" s="16">
        <f>IF(SUM(ParagonAbilities3[[#This Row],[takes]]) &gt; 0,ParagonAbilities3[[#This Row],[takes]]/SUM(ParagonAbilities3[takes]),0)</f>
        <v>0.45871559633027525</v>
      </c>
      <c r="E15" s="16">
        <f>IF(ParagonAbilities3[[#This Row],[takes]]&gt;0,ParagonAbilities3[[#This Row],[wins]]/ParagonAbilities3[[#This Row],[takes]],0)</f>
        <v>0.34</v>
      </c>
      <c r="F15" s="20"/>
      <c r="G15" s="20"/>
      <c r="H15" s="20"/>
      <c r="I15" s="20"/>
      <c r="J15" s="22"/>
      <c r="L15" s="27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5" s="1">
        <f>COUNTIF(Scenario0[winner1-ability3],ParagonAbilities3Scenario0[[#This Row],[ability]])+COUNTIF(Scenario0[winner2-ability3],ParagonAbilities3Scenario0[[#This Row],[ability]])</f>
        <v>3</v>
      </c>
      <c r="O15" s="16">
        <f>IF(SUM(ParagonAbilities3Scenario0[[#This Row],[takes]]) &gt; 0,ParagonAbilities3Scenario0[[#This Row],[takes]]/SUM(ParagonAbilities3Scenario0[takes]),0)</f>
        <v>0.36842105263157893</v>
      </c>
      <c r="P15" s="16">
        <f>IF(ParagonAbilities3Scenario0[[#This Row],[takes]]&gt;0,ParagonAbilities3Scenario0[[#This Row],[wins]]/ParagonAbilities3Scenario0[[#This Row],[takes]],0)</f>
        <v>0.42857142857142855</v>
      </c>
      <c r="Q15" s="20"/>
      <c r="R15" s="20"/>
      <c r="S15" s="20"/>
      <c r="T15" s="20"/>
      <c r="U15" s="22"/>
    </row>
    <row r="16" spans="1:24" x14ac:dyDescent="0.4">
      <c r="A16" s="19"/>
      <c r="B16" s="20"/>
      <c r="C16" s="20"/>
      <c r="D16" s="21"/>
      <c r="E16" s="21"/>
      <c r="F16" s="20"/>
      <c r="G16" s="20"/>
      <c r="H16" s="20"/>
      <c r="I16" s="20"/>
      <c r="J16" s="22"/>
      <c r="L16" s="19"/>
      <c r="M16" s="20"/>
      <c r="N16" s="20"/>
      <c r="O16" s="21"/>
      <c r="P16" s="21"/>
      <c r="Q16" s="20"/>
      <c r="R16" s="20"/>
      <c r="S16" s="20"/>
      <c r="T16" s="20"/>
      <c r="U16" s="22"/>
    </row>
    <row r="17" spans="1:21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0"/>
      <c r="J17" s="22"/>
      <c r="L17" s="23" t="s">
        <v>109</v>
      </c>
      <c r="M17" s="9" t="s">
        <v>110</v>
      </c>
      <c r="N17" s="9" t="s">
        <v>79</v>
      </c>
      <c r="O17" s="10" t="s">
        <v>117</v>
      </c>
      <c r="P17" s="10" t="s">
        <v>118</v>
      </c>
      <c r="Q17" s="20"/>
      <c r="R17" s="20"/>
      <c r="S17" s="20"/>
      <c r="T17" s="20"/>
      <c r="U17" s="22"/>
    </row>
    <row r="18" spans="1:21" x14ac:dyDescent="0.4">
      <c r="A18" s="24" t="s">
        <v>98</v>
      </c>
      <c r="B18" s="2">
        <f>M18+M39+M60+M81+M102+M123</f>
        <v>11</v>
      </c>
      <c r="C18" s="2">
        <f>N18+N39+N60+N81+N102+N123</f>
        <v>8</v>
      </c>
      <c r="D18" s="13">
        <f>IF(SUM(ParagonAbilities4[[#This Row],[takes]]) &gt; 0,ParagonAbilities4[[#This Row],[takes]]/SUM(ParagonAbilities4[takes]),0)</f>
        <v>0.15714285714285714</v>
      </c>
      <c r="E18" s="13">
        <f>IF(ParagonAbilities4[[#This Row],[takes]]&gt;0,ParagonAbilities4[[#This Row],[wins]]/ParagonAbilities4[[#This Row],[takes]],0)</f>
        <v>0.72727272727272729</v>
      </c>
      <c r="F18" s="20"/>
      <c r="G18" s="20"/>
      <c r="H18" s="20"/>
      <c r="I18" s="20"/>
      <c r="J18" s="22"/>
      <c r="L18" s="24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3">
        <f>IF(SUM(ParagonAbilities4Scenario0[[#This Row],[takes]]) &gt; 0,ParagonAbilities4Scenario0[[#This Row],[takes]]/SUM(ParagonAbilities4Scenario0[takes]),0)</f>
        <v>0</v>
      </c>
      <c r="P18" s="13">
        <f>IF(ParagonAbilities4Scenario0[[#This Row],[takes]]&gt;0,ParagonAbilities4Scenario0[[#This Row],[wins]]/ParagonAbilities4Scenario0[[#This Row],[takes]],0)</f>
        <v>0</v>
      </c>
      <c r="Q18" s="20"/>
      <c r="R18" s="20"/>
      <c r="S18" s="20"/>
      <c r="T18" s="20"/>
      <c r="U18" s="22"/>
    </row>
    <row r="19" spans="1:21" x14ac:dyDescent="0.4">
      <c r="A19" s="24" t="s">
        <v>115</v>
      </c>
      <c r="B19" s="2">
        <f t="shared" ref="B19:B20" si="9">M19+M40+M61+M82+M103+M124</f>
        <v>53</v>
      </c>
      <c r="C19" s="2">
        <f t="shared" ref="C19:C20" si="10">N19+N40+N61+N82+N103+N124</f>
        <v>20</v>
      </c>
      <c r="D19" s="13">
        <f>IF(SUM(ParagonAbilities4[[#This Row],[takes]]) &gt; 0,ParagonAbilities4[[#This Row],[takes]]/SUM(ParagonAbilities4[takes]),0)</f>
        <v>0.75714285714285712</v>
      </c>
      <c r="E19" s="13">
        <f>IF(ParagonAbilities4[[#This Row],[takes]]&gt;0,ParagonAbilities4[[#This Row],[wins]]/ParagonAbilities4[[#This Row],[takes]],0)</f>
        <v>0.37735849056603776</v>
      </c>
      <c r="F19" s="20"/>
      <c r="G19" s="20"/>
      <c r="H19" s="20"/>
      <c r="I19" s="20"/>
      <c r="J19" s="22"/>
      <c r="L19" s="24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2</v>
      </c>
      <c r="N19" s="2">
        <f>COUNTIF(Scenario0[winner1-ability4],ParagonAbilities4Scenario0[[#This Row],[ability]])+COUNTIF(Scenario0[winner2-ability4],ParagonAbilities4Scenario0[[#This Row],[ability]])</f>
        <v>1</v>
      </c>
      <c r="O19" s="13">
        <f>IF(SUM(ParagonAbilities4Scenario0[[#This Row],[takes]]) &gt; 0,ParagonAbilities4Scenario0[[#This Row],[takes]]/SUM(ParagonAbilities4Scenario0[takes]),0)</f>
        <v>0.66666666666666663</v>
      </c>
      <c r="P19" s="13">
        <f>IF(ParagonAbilities4Scenario0[[#This Row],[takes]]&gt;0,ParagonAbilities4Scenario0[[#This Row],[wins]]/ParagonAbilities4Scenario0[[#This Row],[takes]],0)</f>
        <v>0.5</v>
      </c>
      <c r="Q19" s="20"/>
      <c r="R19" s="20"/>
      <c r="S19" s="20"/>
      <c r="T19" s="20"/>
      <c r="U19" s="22"/>
    </row>
    <row r="20" spans="1:21" ht="15" thickBot="1" x14ac:dyDescent="0.45">
      <c r="A20" s="28" t="s">
        <v>116</v>
      </c>
      <c r="B20" s="2">
        <f t="shared" si="9"/>
        <v>6</v>
      </c>
      <c r="C20" s="2">
        <f t="shared" si="10"/>
        <v>4</v>
      </c>
      <c r="D20" s="30">
        <f>IF(SUM(ParagonAbilities4[[#This Row],[takes]]) &gt; 0,ParagonAbilities4[[#This Row],[takes]]/SUM(ParagonAbilities4[takes]),0)</f>
        <v>8.5714285714285715E-2</v>
      </c>
      <c r="E20" s="30">
        <f>IF(ParagonAbilities4[[#This Row],[takes]]&gt;0,ParagonAbilities4[[#This Row],[wins]]/ParagonAbilities4[[#This Row],[takes]],0)</f>
        <v>0.66666666666666663</v>
      </c>
      <c r="F20" s="31"/>
      <c r="G20" s="31"/>
      <c r="H20" s="31"/>
      <c r="I20" s="31"/>
      <c r="J20" s="32"/>
      <c r="L20" s="28" t="s">
        <v>116</v>
      </c>
      <c r="M20" s="29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20" s="29">
        <f>COUNTIF(Scenario0[winner1-ability4],ParagonAbilities4Scenario0[[#This Row],[ability]])+COUNTIF(Scenario0[winner2-ability4],ParagonAbilities4Scenario0[[#This Row],[ability]])</f>
        <v>0</v>
      </c>
      <c r="O20" s="30">
        <f>IF(SUM(ParagonAbilities4Scenario0[[#This Row],[takes]]) &gt; 0,ParagonAbilities4Scenario0[[#This Row],[takes]]/SUM(ParagonAbilities4Scenario0[takes]),0)</f>
        <v>0.33333333333333331</v>
      </c>
      <c r="P20" s="30">
        <f>IF(ParagonAbilities4Scenario0[[#This Row],[takes]]&gt;0,ParagonAbilities4Scenario0[[#This Row],[wins]]/ParagonAbilities4Scenario0[[#This Row],[takes]],0)</f>
        <v>0</v>
      </c>
      <c r="Q20" s="31"/>
      <c r="R20" s="31"/>
      <c r="S20" s="31"/>
      <c r="T20" s="31"/>
      <c r="U20" s="32"/>
    </row>
    <row r="21" spans="1:21" ht="15" thickBot="1" x14ac:dyDescent="0.45"/>
    <row r="22" spans="1:21" ht="15" thickBot="1" x14ac:dyDescent="0.45">
      <c r="L22" s="41" t="s">
        <v>393</v>
      </c>
      <c r="M22" s="42"/>
      <c r="N22" s="42"/>
      <c r="O22" s="42"/>
      <c r="P22" s="42"/>
      <c r="Q22" s="42"/>
      <c r="R22" s="42"/>
      <c r="S22" s="42"/>
      <c r="T22" s="42"/>
      <c r="U22" s="43"/>
    </row>
    <row r="23" spans="1:21" x14ac:dyDescent="0.4">
      <c r="L23" s="19" t="s">
        <v>109</v>
      </c>
      <c r="M23" s="20" t="s">
        <v>110</v>
      </c>
      <c r="N23" s="20" t="s">
        <v>79</v>
      </c>
      <c r="O23" s="21" t="s">
        <v>117</v>
      </c>
      <c r="P23" s="21" t="s">
        <v>118</v>
      </c>
      <c r="Q23" s="20"/>
      <c r="R23" s="20" t="s">
        <v>161</v>
      </c>
      <c r="S23" s="20" t="s">
        <v>162</v>
      </c>
      <c r="T23" s="20" t="s">
        <v>163</v>
      </c>
      <c r="U23" s="22" t="s">
        <v>164</v>
      </c>
    </row>
    <row r="24" spans="1:21" x14ac:dyDescent="0.4">
      <c r="L24" s="19" t="s">
        <v>54</v>
      </c>
      <c r="M24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103</v>
      </c>
      <c r="N24" s="20">
        <f>COUNTIF(Scenario1[winner1-ability1],ParagonAbilities1Scenario1[[#This Row],[ability]])+COUNTIF(Scenario1[winner2-ability1],ParagonAbilities1Scenario1[[#This Row],[ability]])</f>
        <v>61</v>
      </c>
      <c r="O24" s="21">
        <f>IF(SUM(ParagonAbilities1Scenario1[[#This Row],[takes]]) &gt; 0,ParagonAbilities1Scenario1[[#This Row],[takes]]/SUM(ParagonAbilities1Scenario1[takes]),0)</f>
        <v>0.98095238095238091</v>
      </c>
      <c r="P24" s="21">
        <f>IF(ParagonAbilities1Scenario1[[#This Row],[takes]]&gt;0,ParagonAbilities1Scenario1[[#This Row],[wins]]/ParagonAbilities1Scenario1[[#This Row],[takes]],0)</f>
        <v>0.59223300970873782</v>
      </c>
      <c r="Q24" s="20"/>
      <c r="R24" s="20">
        <v>1</v>
      </c>
      <c r="S24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33</v>
      </c>
      <c r="T24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102</v>
      </c>
      <c r="U24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80</v>
      </c>
    </row>
    <row r="25" spans="1:21" x14ac:dyDescent="0.4">
      <c r="L25" s="19" t="s">
        <v>111</v>
      </c>
      <c r="M25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2</v>
      </c>
      <c r="N25" s="20">
        <f>COUNTIF(Scenario1[winner1-ability1],ParagonAbilities1Scenario1[[#This Row],[ability]])+COUNTIF(Scenario1[winner2-ability1],ParagonAbilities1Scenario1[[#This Row],[ability]])</f>
        <v>1</v>
      </c>
      <c r="O25" s="21">
        <f>IF(SUM(ParagonAbilities1Scenario1[[#This Row],[takes]]) &gt; 0,ParagonAbilities1Scenario1[[#This Row],[takes]]/SUM(ParagonAbilities1Scenario1[takes]),0)</f>
        <v>1.9047619047619049E-2</v>
      </c>
      <c r="P25" s="21">
        <f>IF(ParagonAbilities1Scenario1[[#This Row],[takes]]&gt;0,ParagonAbilities1Scenario1[[#This Row],[wins]]/ParagonAbilities1Scenario1[[#This Row],[takes]],0)</f>
        <v>0.5</v>
      </c>
      <c r="Q25" s="20"/>
      <c r="R25" s="20">
        <v>2</v>
      </c>
      <c r="S25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57</v>
      </c>
      <c r="T25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3</v>
      </c>
      <c r="U25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14</v>
      </c>
    </row>
    <row r="26" spans="1:21" x14ac:dyDescent="0.4">
      <c r="L26" s="19" t="s">
        <v>112</v>
      </c>
      <c r="M26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 s="20">
        <f>COUNTIF(Scenario1[winner1-ability1],ParagonAbilities1Scenario1[[#This Row],[ability]])+COUNTIF(Scenario1[winner2-ability1],ParagonAbilities1Scenario1[[#This Row],[ability]])</f>
        <v>0</v>
      </c>
      <c r="O26" s="21">
        <f>IF(SUM(ParagonAbilities1Scenario1[[#This Row],[takes]]) &gt; 0,ParagonAbilities1Scenario1[[#This Row],[takes]]/SUM(ParagonAbilities1Scenario1[takes]),0)</f>
        <v>0</v>
      </c>
      <c r="P26" s="21">
        <f>IF(ParagonAbilities1Scenario1[[#This Row],[takes]]&gt;0,ParagonAbilities1Scenario1[[#This Row],[wins]]/ParagonAbilities1Scenario1[[#This Row],[takes]],0)</f>
        <v>0</v>
      </c>
      <c r="Q26" s="20"/>
      <c r="R26" s="20">
        <v>3</v>
      </c>
      <c r="S26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15</v>
      </c>
      <c r="T26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11</v>
      </c>
    </row>
    <row r="27" spans="1:21" x14ac:dyDescent="0.4">
      <c r="L27" s="19"/>
      <c r="M27" s="20"/>
      <c r="N27" s="20"/>
      <c r="O27" s="21"/>
      <c r="P27" s="21"/>
      <c r="Q27" s="20"/>
      <c r="R27" s="20"/>
      <c r="S27" s="20"/>
      <c r="T27" s="20"/>
      <c r="U27" s="22"/>
    </row>
    <row r="28" spans="1:21" x14ac:dyDescent="0.4">
      <c r="L28" s="23" t="s">
        <v>109</v>
      </c>
      <c r="M28" s="9" t="s">
        <v>110</v>
      </c>
      <c r="N28" s="9" t="s">
        <v>79</v>
      </c>
      <c r="O28" s="10" t="s">
        <v>117</v>
      </c>
      <c r="P28" s="10" t="s">
        <v>118</v>
      </c>
      <c r="Q28" s="20"/>
      <c r="R28" s="20"/>
      <c r="S28" s="20"/>
      <c r="T28" s="20"/>
      <c r="U28" s="22"/>
    </row>
    <row r="29" spans="1:21" x14ac:dyDescent="0.4">
      <c r="L29" s="24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11</v>
      </c>
      <c r="N29" s="2">
        <f>COUNTIF(Scenario1[winner1-ability2],ParagonAbilities2Scenario1[[#This Row],[ability]])+COUNTIF(Scenario1[winner2-ability2],ParagonAbilities2Scenario1[[#This Row],[ability]])</f>
        <v>10</v>
      </c>
      <c r="O29" s="13">
        <f>IF(SUM(ParagonAbilities2Scenario1[[#This Row],[takes]]) &gt; 0,ParagonAbilities2Scenario1[[#This Row],[takes]]/SUM(ParagonAbilities2Scenario1[takes]),0)</f>
        <v>0.28205128205128205</v>
      </c>
      <c r="P29" s="13">
        <f>IF(ParagonAbilities2Scenario1[[#This Row],[takes]]&gt;0,ParagonAbilities2Scenario1[[#This Row],[wins]]/ParagonAbilities2Scenario1[[#This Row],[takes]],0)</f>
        <v>0.90909090909090906</v>
      </c>
      <c r="Q29" s="20"/>
      <c r="R29" s="20"/>
      <c r="S29" s="20"/>
      <c r="T29" s="20"/>
      <c r="U29" s="22"/>
    </row>
    <row r="30" spans="1:21" x14ac:dyDescent="0.4">
      <c r="L30" s="19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21</v>
      </c>
      <c r="N30" s="2">
        <f>COUNTIF(Scenario1[winner1-ability2],ParagonAbilities2Scenario1[[#This Row],[ability]])+COUNTIF(Scenario1[winner2-ability2],ParagonAbilities2Scenario1[[#This Row],[ability]])</f>
        <v>13</v>
      </c>
      <c r="O30" s="21">
        <f>IF(SUM(ParagonAbilities2Scenario1[[#This Row],[takes]]) &gt; 0,ParagonAbilities2Scenario1[[#This Row],[takes]]/SUM(ParagonAbilities2Scenario1[takes]),0)</f>
        <v>0.53846153846153844</v>
      </c>
      <c r="P30" s="21">
        <f>IF(ParagonAbilities2Scenario1[[#This Row],[takes]]&gt;0,ParagonAbilities2Scenario1[[#This Row],[wins]]/ParagonAbilities2Scenario1[[#This Row],[takes]],0)</f>
        <v>0.61904761904761907</v>
      </c>
      <c r="Q30" s="20"/>
      <c r="R30" s="20"/>
      <c r="S30" s="20"/>
      <c r="T30" s="20"/>
      <c r="U30" s="22"/>
    </row>
    <row r="31" spans="1:21" x14ac:dyDescent="0.4">
      <c r="L31" s="25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7</v>
      </c>
      <c r="N31" s="2">
        <f>COUNTIF(Scenario1[winner1-ability2],ParagonAbilities2Scenario1[[#This Row],[ability]])+COUNTIF(Scenario1[winner2-ability2],ParagonAbilities2Scenario1[[#This Row],[ability]])</f>
        <v>3</v>
      </c>
      <c r="O31" s="14">
        <f>IF(SUM(ParagonAbilities2Scenario1[[#This Row],[takes]]) &gt; 0,ParagonAbilities2Scenario1[[#This Row],[takes]]/SUM(ParagonAbilities2Scenario1[takes]),0)</f>
        <v>0.17948717948717949</v>
      </c>
      <c r="P31" s="14">
        <f>IF(ParagonAbilities2Scenario1[[#This Row],[takes]]&gt;0,ParagonAbilities2Scenario1[[#This Row],[wins]]/ParagonAbilities2Scenario1[[#This Row],[takes]],0)</f>
        <v>0.42857142857142855</v>
      </c>
      <c r="Q31" s="20"/>
      <c r="R31" s="20"/>
      <c r="S31" s="20"/>
      <c r="T31" s="20"/>
      <c r="U31" s="22"/>
    </row>
    <row r="32" spans="1:21" x14ac:dyDescent="0.4">
      <c r="L32" s="19"/>
      <c r="M32" s="20"/>
      <c r="N32" s="20"/>
      <c r="O32" s="21"/>
      <c r="P32" s="21"/>
      <c r="Q32" s="20"/>
      <c r="R32" s="20"/>
      <c r="S32" s="20"/>
      <c r="T32" s="20"/>
      <c r="U32" s="22"/>
    </row>
    <row r="33" spans="12:21" x14ac:dyDescent="0.4">
      <c r="L33" s="23" t="s">
        <v>109</v>
      </c>
      <c r="M33" s="9" t="s">
        <v>110</v>
      </c>
      <c r="N33" s="9" t="s">
        <v>79</v>
      </c>
      <c r="O33" s="10" t="s">
        <v>117</v>
      </c>
      <c r="P33" s="10" t="s">
        <v>118</v>
      </c>
      <c r="Q33" s="20"/>
      <c r="R33" s="20"/>
      <c r="S33" s="20"/>
      <c r="T33" s="20"/>
      <c r="U33" s="22"/>
    </row>
    <row r="34" spans="12:21" x14ac:dyDescent="0.4">
      <c r="L34" s="26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4</v>
      </c>
      <c r="N34" s="1">
        <f>COUNTIF(Scenario1[winner1-ability3],ParagonAbilities3Scenario1[[#This Row],[ability]])+COUNTIF(Scenario1[winner2-ability3],ParagonAbilities3Scenario1[[#This Row],[ability]])</f>
        <v>4</v>
      </c>
      <c r="O34" s="15">
        <f>IF(SUM(ParagonAbilities3Scenario1[[#This Row],[takes]]) &gt; 0,ParagonAbilities3Scenario1[[#This Row],[takes]]/SUM(ParagonAbilities3Scenario1[takes]),0)</f>
        <v>0.36363636363636365</v>
      </c>
      <c r="P34" s="15">
        <f>IF(ParagonAbilities3Scenario1[[#This Row],[takes]]&gt;0,ParagonAbilities3Scenario1[[#This Row],[wins]]/ParagonAbilities3Scenario1[[#This Row],[takes]],0)</f>
        <v>1</v>
      </c>
      <c r="Q34" s="20"/>
      <c r="R34" s="20"/>
      <c r="S34" s="20"/>
      <c r="T34" s="20"/>
      <c r="U34" s="22"/>
    </row>
    <row r="35" spans="12:21" x14ac:dyDescent="0.4">
      <c r="L35" s="24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3</v>
      </c>
      <c r="N35" s="2">
        <f>COUNTIF(Scenario1[winner1-ability3],ParagonAbilities3Scenario1[[#This Row],[ability]])+COUNTIF(Scenario1[winner2-ability3],ParagonAbilities3Scenario1[[#This Row],[ability]])</f>
        <v>2</v>
      </c>
      <c r="O35" s="13">
        <f>IF(SUM(ParagonAbilities3Scenario1[[#This Row],[takes]]) &gt; 0,ParagonAbilities3Scenario1[[#This Row],[takes]]/SUM(ParagonAbilities3Scenario1[takes]),0)</f>
        <v>0.27272727272727271</v>
      </c>
      <c r="P35" s="13">
        <f>IF(ParagonAbilities3Scenario1[[#This Row],[takes]]&gt;0,ParagonAbilities3Scenario1[[#This Row],[wins]]/ParagonAbilities3Scenario1[[#This Row],[takes]],0)</f>
        <v>0.66666666666666663</v>
      </c>
      <c r="Q35" s="20"/>
      <c r="R35" s="20"/>
      <c r="S35" s="20"/>
      <c r="T35" s="20"/>
      <c r="U35" s="22"/>
    </row>
    <row r="36" spans="12:21" x14ac:dyDescent="0.4">
      <c r="L36" s="27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4</v>
      </c>
      <c r="N36" s="1">
        <f>COUNTIF(Scenario1[winner1-ability3],ParagonAbilities3Scenario1[[#This Row],[ability]])+COUNTIF(Scenario1[winner2-ability3],ParagonAbilities3Scenario1[[#This Row],[ability]])</f>
        <v>2</v>
      </c>
      <c r="O36" s="16">
        <f>IF(SUM(ParagonAbilities3Scenario1[[#This Row],[takes]]) &gt; 0,ParagonAbilities3Scenario1[[#This Row],[takes]]/SUM(ParagonAbilities3Scenario1[takes]),0)</f>
        <v>0.36363636363636365</v>
      </c>
      <c r="P36" s="16">
        <f>IF(ParagonAbilities3Scenario1[[#This Row],[takes]]&gt;0,ParagonAbilities3Scenario1[[#This Row],[wins]]/ParagonAbilities3Scenario1[[#This Row],[takes]],0)</f>
        <v>0.5</v>
      </c>
      <c r="Q36" s="20"/>
      <c r="R36" s="20"/>
      <c r="S36" s="20"/>
      <c r="T36" s="20"/>
      <c r="U36" s="22"/>
    </row>
    <row r="37" spans="12:21" x14ac:dyDescent="0.4">
      <c r="L37" s="19"/>
      <c r="M37" s="20"/>
      <c r="N37" s="20"/>
      <c r="O37" s="21"/>
      <c r="P37" s="21"/>
      <c r="Q37" s="20"/>
      <c r="R37" s="20"/>
      <c r="S37" s="20"/>
      <c r="T37" s="20"/>
      <c r="U37" s="22"/>
    </row>
    <row r="38" spans="12:21" x14ac:dyDescent="0.4">
      <c r="L38" s="23" t="s">
        <v>109</v>
      </c>
      <c r="M38" s="9" t="s">
        <v>110</v>
      </c>
      <c r="N38" s="9" t="s">
        <v>79</v>
      </c>
      <c r="O38" s="10" t="s">
        <v>117</v>
      </c>
      <c r="P38" s="10" t="s">
        <v>118</v>
      </c>
      <c r="Q38" s="20"/>
      <c r="R38" s="20"/>
      <c r="S38" s="20"/>
      <c r="T38" s="20"/>
      <c r="U38" s="22"/>
    </row>
    <row r="39" spans="12:21" x14ac:dyDescent="0.4">
      <c r="L39" s="24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39" s="2">
        <f>COUNTIF(Scenario1[winner1-ability4],ParagonAbilities4Scenario1[[#This Row],[ability]])+COUNTIF(Scenario1[winner2-ability4],ParagonAbilities4Scenario1[[#This Row],[ability]])</f>
        <v>1</v>
      </c>
      <c r="O39" s="13">
        <f>IF(SUM(ParagonAbilities4Scenario1[[#This Row],[takes]]) &gt; 0,ParagonAbilities4Scenario1[[#This Row],[takes]]/SUM(ParagonAbilities4Scenario1[takes]),0)</f>
        <v>0.25</v>
      </c>
      <c r="P39" s="13">
        <f>IF(ParagonAbilities4Scenario1[[#This Row],[takes]]&gt;0,ParagonAbilities4Scenario1[[#This Row],[wins]]/ParagonAbilities4Scenario1[[#This Row],[takes]],0)</f>
        <v>1</v>
      </c>
      <c r="Q39" s="20"/>
      <c r="R39" s="20"/>
      <c r="S39" s="20"/>
      <c r="T39" s="20"/>
      <c r="U39" s="22"/>
    </row>
    <row r="40" spans="12:21" x14ac:dyDescent="0.4">
      <c r="L40" s="24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0" s="2">
        <f>COUNTIF(Scenario1[winner1-ability4],ParagonAbilities4Scenario1[[#This Row],[ability]])+COUNTIF(Scenario1[winner2-ability4],ParagonAbilities4Scenario1[[#This Row],[ability]])</f>
        <v>1</v>
      </c>
      <c r="O40" s="13">
        <f>IF(SUM(ParagonAbilities4Scenario1[[#This Row],[takes]]) &gt; 0,ParagonAbilities4Scenario1[[#This Row],[takes]]/SUM(ParagonAbilities4Scenario1[takes]),0)</f>
        <v>0.25</v>
      </c>
      <c r="P40" s="13">
        <f>IF(ParagonAbilities4Scenario1[[#This Row],[takes]]&gt;0,ParagonAbilities4Scenario1[[#This Row],[wins]]/ParagonAbilities4Scenario1[[#This Row],[takes]],0)</f>
        <v>1</v>
      </c>
      <c r="Q40" s="20"/>
      <c r="R40" s="20"/>
      <c r="S40" s="20"/>
      <c r="T40" s="20"/>
      <c r="U40" s="22"/>
    </row>
    <row r="41" spans="12:21" ht="15" thickBot="1" x14ac:dyDescent="0.45">
      <c r="L41" s="28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41" s="2">
        <f>COUNTIF(Scenario1[winner1-ability4],ParagonAbilities4Scenario1[[#This Row],[ability]])+COUNTIF(Scenario1[winner2-ability4],ParagonAbilities4Scenario1[[#This Row],[ability]])</f>
        <v>2</v>
      </c>
      <c r="O41" s="30">
        <f>IF(SUM(ParagonAbilities4Scenario1[[#This Row],[takes]]) &gt; 0,ParagonAbilities4Scenario1[[#This Row],[takes]]/SUM(ParagonAbilities4Scenario1[takes]),0)</f>
        <v>0.5</v>
      </c>
      <c r="P41" s="30">
        <f>IF(ParagonAbilities4Scenario1[[#This Row],[takes]]&gt;0,ParagonAbilities4Scenario1[[#This Row],[wins]]/ParagonAbilities4Scenario1[[#This Row],[takes]],0)</f>
        <v>1</v>
      </c>
      <c r="Q41" s="31"/>
      <c r="R41" s="31"/>
      <c r="S41" s="31"/>
      <c r="T41" s="31"/>
      <c r="U41" s="32"/>
    </row>
    <row r="42" spans="12:21" ht="15" thickBot="1" x14ac:dyDescent="0.45"/>
    <row r="43" spans="12:21" ht="15" thickBot="1" x14ac:dyDescent="0.45">
      <c r="L43" s="41" t="s">
        <v>394</v>
      </c>
      <c r="M43" s="42"/>
      <c r="N43" s="42"/>
      <c r="O43" s="42"/>
      <c r="P43" s="42"/>
      <c r="Q43" s="42"/>
      <c r="R43" s="42"/>
      <c r="S43" s="42"/>
      <c r="T43" s="42"/>
      <c r="U43" s="43"/>
    </row>
    <row r="44" spans="12:21" x14ac:dyDescent="0.4">
      <c r="L44" s="19" t="s">
        <v>109</v>
      </c>
      <c r="M44" s="20" t="s">
        <v>110</v>
      </c>
      <c r="N44" s="20" t="s">
        <v>79</v>
      </c>
      <c r="O44" s="21" t="s">
        <v>117</v>
      </c>
      <c r="P44" s="21" t="s">
        <v>118</v>
      </c>
      <c r="Q44" s="20"/>
      <c r="R44" s="20" t="s">
        <v>161</v>
      </c>
      <c r="S44" s="20" t="s">
        <v>162</v>
      </c>
      <c r="T44" s="20" t="s">
        <v>163</v>
      </c>
      <c r="U44" s="22" t="s">
        <v>164</v>
      </c>
    </row>
    <row r="45" spans="12:21" x14ac:dyDescent="0.4">
      <c r="L45" s="19" t="s">
        <v>54</v>
      </c>
      <c r="M45" s="20">
        <f>COUNTIF(Scenario2[winner1-ability1],ParagonAbilities1Scenario2[[#This Row],[ability]])+COUNTIF(Scenario2[loser1-ability1],ParagonAbilities1Scenario2[[#This Row],[ability]])</f>
        <v>4</v>
      </c>
      <c r="N45" s="20">
        <f>COUNTIF(Scenario2[winner1-ability1],ParagonAbilities1Scenario2[[#This Row],[ability]])</f>
        <v>4</v>
      </c>
      <c r="O45" s="21">
        <f>IF(SUM(ParagonAbilities1Scenario2[[#This Row],[takes]]) &gt; 0,ParagonAbilities1Scenario2[[#This Row],[takes]]/SUM(ParagonAbilities1Scenario2[takes]),0)</f>
        <v>0.2857142857142857</v>
      </c>
      <c r="P45" s="21">
        <f>IF(ParagonAbilities1Scenario2[[#This Row],[takes]]&gt;0,ParagonAbilities1Scenario2[[#This Row],[wins]]/ParagonAbilities1Scenario2[[#This Row],[takes]],0)</f>
        <v>1</v>
      </c>
      <c r="Q45" s="20"/>
      <c r="R45" s="20">
        <v>1</v>
      </c>
      <c r="S45" s="20">
        <f>COUNTIFS(Scenario2[winner1],"paragon",Scenario2[winner1-pw],ParagonEquipScenario2[[#This Row],[level]])+COUNTIFS(Scenario2[loser1],"paragon",Scenario2[loser1-pw],ParagonEquipScenario2[[#This Row],[level]])</f>
        <v>3</v>
      </c>
      <c r="T45" s="20">
        <f>COUNTIFS(Scenario2[winner1],"paragon",Scenario2[winner1-sw],ParagonEquipScenario2[[#This Row],[level]])+COUNTIFS(Scenario2[loser1],"paragon",Scenario2[loser1-sw],ParagonEquipScenario2[[#This Row],[level]])</f>
        <v>8</v>
      </c>
      <c r="U45" s="22">
        <f>COUNTIFS(Scenario2[winner1],"paragon",Scenario2[winner1-cp],ParagonEquipScenario2[[#This Row],[level]])+COUNTIFS(Scenario2[loser1],"paragon",Scenario2[loser1-cp],ParagonEquipScenario2[[#This Row],[level]])</f>
        <v>4</v>
      </c>
    </row>
    <row r="46" spans="12:21" x14ac:dyDescent="0.4">
      <c r="L46" s="19" t="s">
        <v>111</v>
      </c>
      <c r="M46" s="20">
        <f>COUNTIF(Scenario2[winner1-ability1],ParagonAbilities1Scenario2[[#This Row],[ability]])+COUNTIF(Scenario2[loser1-ability1],ParagonAbilities1Scenario2[[#This Row],[ability]])</f>
        <v>4</v>
      </c>
      <c r="N46" s="20">
        <f>COUNTIF(Scenario2[winner1-ability1],ParagonAbilities1Scenario2[[#This Row],[ability]])</f>
        <v>1</v>
      </c>
      <c r="O46" s="21">
        <f>IF(SUM(ParagonAbilities1Scenario2[[#This Row],[takes]]) &gt; 0,ParagonAbilities1Scenario2[[#This Row],[takes]]/SUM(ParagonAbilities1Scenario2[takes]),0)</f>
        <v>0.2857142857142857</v>
      </c>
      <c r="P46" s="21">
        <f>IF(ParagonAbilities1Scenario2[[#This Row],[takes]]&gt;0,ParagonAbilities1Scenario2[[#This Row],[wins]]/ParagonAbilities1Scenario2[[#This Row],[takes]],0)</f>
        <v>0.25</v>
      </c>
      <c r="Q46" s="20"/>
      <c r="R46" s="20">
        <v>2</v>
      </c>
      <c r="S46" s="20">
        <f>COUNTIFS(Scenario2[winner1],"paragon",Scenario2[winner1-pw],ParagonEquipScenario2[[#This Row],[level]])+COUNTIFS(Scenario2[loser1],"paragon",Scenario2[loser1-pw],ParagonEquipScenario2[[#This Row],[level]])</f>
        <v>4</v>
      </c>
      <c r="T46" s="20">
        <f>COUNTIFS(Scenario2[winner1],"paragon",Scenario2[winner1-sw],ParagonEquipScenario2[[#This Row],[level]])+COUNTIFS(Scenario2[loser1],"paragon",Scenario2[loser1-sw],ParagonEquipScenario2[[#This Row],[level]])</f>
        <v>1</v>
      </c>
      <c r="U46" s="22">
        <f>COUNTIFS(Scenario2[winner1],"paragon",Scenario2[winner1-cp],ParagonEquipScenario2[[#This Row],[level]])+COUNTIFS(Scenario2[loser1],"paragon",Scenario2[loser1-cp],ParagonEquipScenario2[[#This Row],[level]])</f>
        <v>1</v>
      </c>
    </row>
    <row r="47" spans="12:21" x14ac:dyDescent="0.4">
      <c r="L47" s="19" t="s">
        <v>112</v>
      </c>
      <c r="M47" s="20">
        <f>COUNTIF(Scenario2[winner1-ability1],ParagonAbilities1Scenario2[[#This Row],[ability]])+COUNTIF(Scenario2[loser1-ability1],ParagonAbilities1Scenario2[[#This Row],[ability]])</f>
        <v>6</v>
      </c>
      <c r="N47" s="20">
        <f>COUNTIF(Scenario2[winner1-ability1],ParagonAbilities1Scenario2[[#This Row],[ability]])</f>
        <v>6</v>
      </c>
      <c r="O47" s="21">
        <f>IF(SUM(ParagonAbilities1Scenario2[[#This Row],[takes]]) &gt; 0,ParagonAbilities1Scenario2[[#This Row],[takes]]/SUM(ParagonAbilities1Scenario2[takes]),0)</f>
        <v>0.42857142857142855</v>
      </c>
      <c r="P47" s="21">
        <f>IF(ParagonAbilities1Scenario2[[#This Row],[takes]]&gt;0,ParagonAbilities1Scenario2[[#This Row],[wins]]/ParagonAbilities1Scenario2[[#This Row],[takes]],0)</f>
        <v>1</v>
      </c>
      <c r="Q47" s="20"/>
      <c r="R47" s="20">
        <v>3</v>
      </c>
      <c r="S47" s="20">
        <f>COUNTIFS(Scenario2[winner1],"paragon",Scenario2[winner1-pw],ParagonEquipScenario2[[#This Row],[level]])+COUNTIFS(Scenario2[loser1],"paragon",Scenario2[loser1-pw],ParagonEquipScenario2[[#This Row],[level]])</f>
        <v>7</v>
      </c>
      <c r="T47" s="20">
        <f>COUNTIFS(Scenario2[winner1],"paragon",Scenario2[winner1-sw],ParagonEquipScenario2[[#This Row],[level]])+COUNTIFS(Scenario2[loser1],"paragon",Scenario2[loser1-sw],ParagonEquipScenario2[[#This Row],[level]])</f>
        <v>5</v>
      </c>
      <c r="U47" s="22">
        <f>COUNTIFS(Scenario2[winner1],"paragon",Scenario2[winner1-cp],ParagonEquipScenario2[[#This Row],[level]])+COUNTIFS(Scenario2[loser1],"paragon",Scenario2[loser1-cp],ParagonEquipScenario2[[#This Row],[level]])</f>
        <v>9</v>
      </c>
    </row>
    <row r="48" spans="12:21" x14ac:dyDescent="0.4">
      <c r="L48" s="19"/>
      <c r="M48" s="20"/>
      <c r="N48" s="20"/>
      <c r="O48" s="21"/>
      <c r="P48" s="21"/>
      <c r="Q48" s="20"/>
      <c r="R48" s="20"/>
      <c r="S48" s="20"/>
      <c r="T48" s="20"/>
      <c r="U48" s="22"/>
    </row>
    <row r="49" spans="12:21" x14ac:dyDescent="0.4">
      <c r="L49" s="23" t="s">
        <v>109</v>
      </c>
      <c r="M49" s="9" t="s">
        <v>110</v>
      </c>
      <c r="N49" s="9" t="s">
        <v>79</v>
      </c>
      <c r="O49" s="10" t="s">
        <v>117</v>
      </c>
      <c r="P49" s="10" t="s">
        <v>118</v>
      </c>
      <c r="Q49" s="20"/>
      <c r="R49" s="20"/>
      <c r="S49" s="20"/>
      <c r="T49" s="20"/>
      <c r="U49" s="22"/>
    </row>
    <row r="50" spans="12:21" x14ac:dyDescent="0.4">
      <c r="L50" s="24" t="s">
        <v>55</v>
      </c>
      <c r="M50" s="2">
        <f>COUNTIF(Scenario2[winner1-ability2],ParagonAbilities2Scenario2[[#This Row],[ability]])+COUNTIF(Scenario2[loser1-ability2],ParagonAbilities2Scenario2[[#This Row],[ability]])</f>
        <v>0</v>
      </c>
      <c r="N50" s="2">
        <f>COUNTIF(Scenario2[winner1-ability2],ParagonAbilities2Scenario2[[#This Row],[ability]])</f>
        <v>0</v>
      </c>
      <c r="O50" s="13">
        <f>IF(SUM(ParagonAbilities2Scenario2[[#This Row],[takes]]) &gt; 0,ParagonAbilities2Scenario2[[#This Row],[takes]]/SUM(ParagonAbilities2Scenario2[takes]),0)</f>
        <v>0</v>
      </c>
      <c r="P50" s="13">
        <f>IF(ParagonAbilities2Scenario2[[#This Row],[takes]]&gt;0,ParagonAbilities2Scenario2[[#This Row],[wins]]/ParagonAbilities2Scenario2[[#This Row],[takes]],0)</f>
        <v>0</v>
      </c>
      <c r="Q50" s="20"/>
      <c r="R50" s="20"/>
      <c r="S50" s="20"/>
      <c r="T50" s="20"/>
      <c r="U50" s="22"/>
    </row>
    <row r="51" spans="12:21" x14ac:dyDescent="0.4">
      <c r="L51" s="19" t="s">
        <v>83</v>
      </c>
      <c r="M51" s="2">
        <f>COUNTIF(Scenario2[winner1-ability2],ParagonAbilities2Scenario2[[#This Row],[ability]])+COUNTIF(Scenario2[loser1-ability2],ParagonAbilities2Scenario2[[#This Row],[ability]])</f>
        <v>14</v>
      </c>
      <c r="N51" s="2">
        <f>COUNTIF(Scenario2[winner1-ability2],ParagonAbilities2Scenario2[[#This Row],[ability]])</f>
        <v>11</v>
      </c>
      <c r="O51" s="21">
        <f>IF(SUM(ParagonAbilities2Scenario2[[#This Row],[takes]]) &gt; 0,ParagonAbilities2Scenario2[[#This Row],[takes]]/SUM(ParagonAbilities2Scenario2[takes]),0)</f>
        <v>1</v>
      </c>
      <c r="P51" s="21">
        <f>IF(ParagonAbilities2Scenario2[[#This Row],[takes]]&gt;0,ParagonAbilities2Scenario2[[#This Row],[wins]]/ParagonAbilities2Scenario2[[#This Row],[takes]],0)</f>
        <v>0.7857142857142857</v>
      </c>
      <c r="Q51" s="20"/>
      <c r="R51" s="20"/>
      <c r="S51" s="20"/>
      <c r="T51" s="20"/>
      <c r="U51" s="22"/>
    </row>
    <row r="52" spans="12:21" x14ac:dyDescent="0.4">
      <c r="L52" s="25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4">
        <f>IF(SUM(ParagonAbilities2Scenario2[[#This Row],[takes]]) &gt; 0,ParagonAbilities2Scenario2[[#This Row],[takes]]/SUM(ParagonAbilities2Scenario2[takes]),0)</f>
        <v>0</v>
      </c>
      <c r="P52" s="14">
        <f>IF(ParagonAbilities2Scenario2[[#This Row],[takes]]&gt;0,ParagonAbilities2Scenario2[[#This Row],[wins]]/ParagonAbilities2Scenario2[[#This Row],[takes]],0)</f>
        <v>0</v>
      </c>
      <c r="Q52" s="20"/>
      <c r="R52" s="20"/>
      <c r="S52" s="20"/>
      <c r="T52" s="20"/>
      <c r="U52" s="22"/>
    </row>
    <row r="53" spans="12:21" x14ac:dyDescent="0.4">
      <c r="L53" s="19"/>
      <c r="M53" s="20"/>
      <c r="N53" s="20"/>
      <c r="O53" s="21"/>
      <c r="P53" s="21"/>
      <c r="Q53" s="20"/>
      <c r="R53" s="20"/>
      <c r="S53" s="20"/>
      <c r="T53" s="20"/>
      <c r="U53" s="22"/>
    </row>
    <row r="54" spans="12:21" x14ac:dyDescent="0.4">
      <c r="L54" s="23" t="s">
        <v>109</v>
      </c>
      <c r="M54" s="9" t="s">
        <v>110</v>
      </c>
      <c r="N54" s="9" t="s">
        <v>79</v>
      </c>
      <c r="O54" s="10" t="s">
        <v>117</v>
      </c>
      <c r="P54" s="10" t="s">
        <v>118</v>
      </c>
      <c r="Q54" s="20"/>
      <c r="R54" s="20"/>
      <c r="S54" s="20"/>
      <c r="T54" s="20"/>
      <c r="U54" s="22"/>
    </row>
    <row r="55" spans="12:21" x14ac:dyDescent="0.4">
      <c r="L55" s="26" t="s">
        <v>114</v>
      </c>
      <c r="M55" s="1">
        <f>COUNTIF(Scenario2[winner1-ability3],ParagonAbilities3Scenario2[[#This Row],[ability]])+COUNTIF(Scenario2[loser1-ability3],ParagonAbilities3Scenario2[[#This Row],[ability]])</f>
        <v>2</v>
      </c>
      <c r="N55" s="1">
        <f>COUNTIF(Scenario2[winner1-ability3],ParagonAbilities3Scenario2[[#This Row],[ability]])</f>
        <v>1</v>
      </c>
      <c r="O55" s="15">
        <f>IF(SUM(ParagonAbilities3Scenario2[[#This Row],[takes]]) &gt; 0,ParagonAbilities3Scenario2[[#This Row],[takes]]/SUM(ParagonAbilities3Scenario2[takes]),0)</f>
        <v>0.15384615384615385</v>
      </c>
      <c r="P55" s="15">
        <f>IF(ParagonAbilities3Scenario2[[#This Row],[takes]]&gt;0,ParagonAbilities3Scenario2[[#This Row],[wins]]/ParagonAbilities3Scenario2[[#This Row],[takes]],0)</f>
        <v>0.5</v>
      </c>
      <c r="Q55" s="20"/>
      <c r="R55" s="20"/>
      <c r="S55" s="20"/>
      <c r="T55" s="20"/>
      <c r="U55" s="22"/>
    </row>
    <row r="56" spans="12:21" x14ac:dyDescent="0.4">
      <c r="L56" s="24" t="s">
        <v>105</v>
      </c>
      <c r="M56" s="2">
        <f>COUNTIF(Scenario2[winner1-ability3],ParagonAbilities3Scenario2[[#This Row],[ability]])+COUNTIF(Scenario2[loser1-ability3],ParagonAbilities3Scenario2[[#This Row],[ability]])</f>
        <v>6</v>
      </c>
      <c r="N56" s="2">
        <f>COUNTIF(Scenario2[winner1-ability3],ParagonAbilities3Scenario2[[#This Row],[ability]])</f>
        <v>6</v>
      </c>
      <c r="O56" s="13">
        <f>IF(SUM(ParagonAbilities3Scenario2[[#This Row],[takes]]) &gt; 0,ParagonAbilities3Scenario2[[#This Row],[takes]]/SUM(ParagonAbilities3Scenario2[takes]),0)</f>
        <v>0.46153846153846156</v>
      </c>
      <c r="P56" s="13">
        <f>IF(ParagonAbilities3Scenario2[[#This Row],[takes]]&gt;0,ParagonAbilities3Scenario2[[#This Row],[wins]]/ParagonAbilities3Scenario2[[#This Row],[takes]],0)</f>
        <v>1</v>
      </c>
      <c r="Q56" s="20"/>
      <c r="R56" s="20"/>
      <c r="S56" s="20"/>
      <c r="T56" s="20"/>
      <c r="U56" s="22"/>
    </row>
    <row r="57" spans="12:21" x14ac:dyDescent="0.4">
      <c r="L57" s="27" t="s">
        <v>97</v>
      </c>
      <c r="M57" s="1">
        <f>COUNTIF(Scenario2[winner1-ability3],ParagonAbilities3Scenario2[[#This Row],[ability]])+COUNTIF(Scenario2[loser1-ability3],ParagonAbilities3Scenario2[[#This Row],[ability]])</f>
        <v>5</v>
      </c>
      <c r="N57" s="1">
        <f>COUNTIF(Scenario2[winner1-ability3],ParagonAbilities3Scenario2[[#This Row],[ability]])</f>
        <v>4</v>
      </c>
      <c r="O57" s="16">
        <f>IF(SUM(ParagonAbilities3Scenario2[[#This Row],[takes]]) &gt; 0,ParagonAbilities3Scenario2[[#This Row],[takes]]/SUM(ParagonAbilities3Scenario2[takes]),0)</f>
        <v>0.38461538461538464</v>
      </c>
      <c r="P57" s="16">
        <f>IF(ParagonAbilities3Scenario2[[#This Row],[takes]]&gt;0,ParagonAbilities3Scenario2[[#This Row],[wins]]/ParagonAbilities3Scenario2[[#This Row],[takes]],0)</f>
        <v>0.8</v>
      </c>
      <c r="Q57" s="20"/>
      <c r="R57" s="20"/>
      <c r="S57" s="20"/>
      <c r="T57" s="20"/>
      <c r="U57" s="22"/>
    </row>
    <row r="58" spans="12:21" x14ac:dyDescent="0.4">
      <c r="L58" s="19"/>
      <c r="M58" s="20"/>
      <c r="N58" s="20"/>
      <c r="O58" s="21"/>
      <c r="P58" s="21"/>
      <c r="Q58" s="20"/>
      <c r="R58" s="20"/>
      <c r="S58" s="20"/>
      <c r="T58" s="20"/>
      <c r="U58" s="22"/>
    </row>
    <row r="59" spans="12:21" x14ac:dyDescent="0.4">
      <c r="L59" s="23" t="s">
        <v>109</v>
      </c>
      <c r="M59" s="9" t="s">
        <v>110</v>
      </c>
      <c r="N59" s="9" t="s">
        <v>79</v>
      </c>
      <c r="O59" s="10" t="s">
        <v>117</v>
      </c>
      <c r="P59" s="10" t="s">
        <v>118</v>
      </c>
      <c r="Q59" s="20"/>
      <c r="R59" s="20"/>
      <c r="S59" s="20"/>
      <c r="T59" s="20"/>
      <c r="U59" s="22"/>
    </row>
    <row r="60" spans="12:21" x14ac:dyDescent="0.4">
      <c r="L60" s="24" t="s">
        <v>98</v>
      </c>
      <c r="M60" s="2">
        <f>COUNTIF(Scenario2[winner1-ability4],ParagonAbilities4Scenario2[[#This Row],[ability]])+COUNTIF(Scenario2[loser1-ability4],ParagonAbilities4Scenario2[[#This Row],[ability]])</f>
        <v>5</v>
      </c>
      <c r="N60" s="2">
        <f>COUNTIF(Scenario2[winner1-ability4],ParagonAbilities4Scenario2[[#This Row],[ability]])</f>
        <v>5</v>
      </c>
      <c r="O60" s="13">
        <f>IF(SUM(ParagonAbilities4Scenario2[[#This Row],[takes]]) &gt; 0,ParagonAbilities4Scenario2[[#This Row],[takes]]/SUM(ParagonAbilities4Scenario2[takes]),0)</f>
        <v>0.45454545454545453</v>
      </c>
      <c r="P60" s="13">
        <f>IF(ParagonAbilities4Scenario2[[#This Row],[takes]]&gt;0,ParagonAbilities4Scenario2[[#This Row],[wins]]/ParagonAbilities4Scenario2[[#This Row],[takes]],0)</f>
        <v>1</v>
      </c>
      <c r="Q60" s="20"/>
      <c r="R60" s="20"/>
      <c r="S60" s="20"/>
      <c r="T60" s="20"/>
      <c r="U60" s="22"/>
    </row>
    <row r="61" spans="12:21" x14ac:dyDescent="0.4">
      <c r="L61" s="24" t="s">
        <v>115</v>
      </c>
      <c r="M61" s="2">
        <f>COUNTIF(Scenario2[winner1-ability4],ParagonAbilities4Scenario2[[#This Row],[ability]])+COUNTIF(Scenario2[loser1-ability4],ParagonAbilities4Scenario2[[#This Row],[ability]])</f>
        <v>6</v>
      </c>
      <c r="N61" s="2">
        <f>COUNTIF(Scenario2[winner1-ability4],ParagonAbilities4Scenario2[[#This Row],[ability]])</f>
        <v>5</v>
      </c>
      <c r="O61" s="13">
        <f>IF(SUM(ParagonAbilities4Scenario2[[#This Row],[takes]]) &gt; 0,ParagonAbilities4Scenario2[[#This Row],[takes]]/SUM(ParagonAbilities4Scenario2[takes]),0)</f>
        <v>0.54545454545454541</v>
      </c>
      <c r="P61" s="13">
        <f>IF(ParagonAbilities4Scenario2[[#This Row],[takes]]&gt;0,ParagonAbilities4Scenario2[[#This Row],[wins]]/ParagonAbilities4Scenario2[[#This Row],[takes]],0)</f>
        <v>0.83333333333333337</v>
      </c>
      <c r="Q61" s="20"/>
      <c r="R61" s="20"/>
      <c r="S61" s="20"/>
      <c r="T61" s="20"/>
      <c r="U61" s="22"/>
    </row>
    <row r="62" spans="12:21" ht="15" thickBot="1" x14ac:dyDescent="0.45">
      <c r="L62" s="28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30">
        <f>IF(SUM(ParagonAbilities4Scenario2[[#This Row],[takes]]) &gt; 0,ParagonAbilities4Scenario2[[#This Row],[takes]]/SUM(ParagonAbilities4Scenario2[takes]),0)</f>
        <v>0</v>
      </c>
      <c r="P62" s="30">
        <f>IF(ParagonAbilities4Scenario2[[#This Row],[takes]]&gt;0,ParagonAbilities4Scenario2[[#This Row],[wins]]/ParagonAbilities4Scenario2[[#This Row],[takes]],0)</f>
        <v>0</v>
      </c>
      <c r="Q62" s="31"/>
      <c r="R62" s="31"/>
      <c r="S62" s="31"/>
      <c r="T62" s="31"/>
      <c r="U62" s="32"/>
    </row>
    <row r="63" spans="12:21" ht="15" thickBot="1" x14ac:dyDescent="0.45"/>
    <row r="64" spans="12:21" ht="15" thickBot="1" x14ac:dyDescent="0.45">
      <c r="L64" s="41" t="s">
        <v>686</v>
      </c>
      <c r="M64" s="42"/>
      <c r="N64" s="42"/>
      <c r="O64" s="42"/>
      <c r="P64" s="42"/>
      <c r="Q64" s="42"/>
      <c r="R64" s="42"/>
      <c r="S64" s="42"/>
      <c r="T64" s="42"/>
      <c r="U64" s="43"/>
    </row>
    <row r="65" spans="12:21" x14ac:dyDescent="0.4">
      <c r="L65" s="19" t="s">
        <v>109</v>
      </c>
      <c r="M65" s="20" t="s">
        <v>110</v>
      </c>
      <c r="N65" s="20" t="s">
        <v>79</v>
      </c>
      <c r="O65" s="21" t="s">
        <v>117</v>
      </c>
      <c r="P65" s="21" t="s">
        <v>118</v>
      </c>
      <c r="Q65" s="20"/>
      <c r="R65" s="20" t="s">
        <v>161</v>
      </c>
      <c r="S65" s="20" t="s">
        <v>162</v>
      </c>
      <c r="T65" s="20" t="s">
        <v>163</v>
      </c>
      <c r="U65" s="22" t="s">
        <v>164</v>
      </c>
    </row>
    <row r="66" spans="12:21" x14ac:dyDescent="0.4">
      <c r="L66" s="19" t="s">
        <v>54</v>
      </c>
      <c r="M66" s="20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3</v>
      </c>
      <c r="N66" s="20">
        <f>COUNTIF(Scenario3[winner1-ability1],ParagonAbilities1Scenario3[[#This Row],[ability]])</f>
        <v>3</v>
      </c>
      <c r="O66" s="21">
        <f>IF(SUM(ParagonAbilities1Scenario3[[#This Row],[takes]]) &gt; 0,ParagonAbilities1Scenario3[[#This Row],[takes]]/SUM(ParagonAbilities1Scenario3[takes]),0)</f>
        <v>0.14285714285714285</v>
      </c>
      <c r="P66" s="21">
        <f>IF(ParagonAbilities1Scenario3[[#This Row],[takes]]&gt;0,ParagonAbilities1Scenario3[[#This Row],[wins]]/ParagonAbilities1Scenario3[[#This Row],[takes]],0)</f>
        <v>1</v>
      </c>
      <c r="Q66" s="20"/>
      <c r="R66" s="20">
        <v>1</v>
      </c>
      <c r="S66" s="20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6</v>
      </c>
      <c r="T66" s="20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7</v>
      </c>
      <c r="U66" s="22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4">
      <c r="L67" s="19" t="s">
        <v>111</v>
      </c>
      <c r="M67" s="20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3</v>
      </c>
      <c r="N67" s="20">
        <f>COUNTIF(Scenario3[winner1-ability1],ParagonAbilities1Scenario3[[#This Row],[ability]])</f>
        <v>1</v>
      </c>
      <c r="O67" s="21">
        <f>IF(SUM(ParagonAbilities1Scenario3[[#This Row],[takes]]) &gt; 0,ParagonAbilities1Scenario3[[#This Row],[takes]]/SUM(ParagonAbilities1Scenario3[takes]),0)</f>
        <v>0.14285714285714285</v>
      </c>
      <c r="P67" s="21">
        <f>IF(ParagonAbilities1Scenario3[[#This Row],[takes]]&gt;0,ParagonAbilities1Scenario3[[#This Row],[wins]]/ParagonAbilities1Scenario3[[#This Row],[takes]],0)</f>
        <v>0.33333333333333331</v>
      </c>
      <c r="Q67" s="20"/>
      <c r="R67" s="20">
        <v>2</v>
      </c>
      <c r="S67" s="20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2</v>
      </c>
      <c r="T67" s="20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</v>
      </c>
      <c r="U67" s="22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6</v>
      </c>
    </row>
    <row r="68" spans="12:21" x14ac:dyDescent="0.4">
      <c r="L68" s="19" t="s">
        <v>112</v>
      </c>
      <c r="M68" s="20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15</v>
      </c>
      <c r="N68" s="20">
        <f>COUNTIF(Scenario3[winner1-ability1],ParagonAbilities1Scenario3[[#This Row],[ability]])</f>
        <v>6</v>
      </c>
      <c r="O68" s="21">
        <f>IF(SUM(ParagonAbilities1Scenario3[[#This Row],[takes]]) &gt; 0,ParagonAbilities1Scenario3[[#This Row],[takes]]/SUM(ParagonAbilities1Scenario3[takes]),0)</f>
        <v>0.7142857142857143</v>
      </c>
      <c r="P68" s="21">
        <f>IF(ParagonAbilities1Scenario3[[#This Row],[takes]]&gt;0,ParagonAbilities1Scenario3[[#This Row],[wins]]/ParagonAbilities1Scenario3[[#This Row],[takes]],0)</f>
        <v>0.4</v>
      </c>
      <c r="Q68" s="20"/>
      <c r="R68" s="20">
        <v>3</v>
      </c>
      <c r="S68" s="20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13</v>
      </c>
      <c r="T68" s="20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12</v>
      </c>
      <c r="U68" s="22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15</v>
      </c>
    </row>
    <row r="69" spans="12:21" x14ac:dyDescent="0.4">
      <c r="L69" s="19"/>
      <c r="M69" s="20"/>
      <c r="N69" s="20"/>
      <c r="O69" s="21"/>
      <c r="P69" s="21"/>
      <c r="Q69" s="20"/>
      <c r="R69" s="20"/>
      <c r="S69" s="20"/>
      <c r="T69" s="20"/>
      <c r="U69" s="22"/>
    </row>
    <row r="70" spans="12:21" x14ac:dyDescent="0.4">
      <c r="L70" s="23" t="s">
        <v>109</v>
      </c>
      <c r="M70" s="9" t="s">
        <v>110</v>
      </c>
      <c r="N70" s="9" t="s">
        <v>79</v>
      </c>
      <c r="O70" s="10" t="s">
        <v>117</v>
      </c>
      <c r="P70" s="10" t="s">
        <v>118</v>
      </c>
      <c r="Q70" s="20"/>
      <c r="R70" s="20"/>
      <c r="S70" s="20"/>
      <c r="T70" s="20"/>
      <c r="U70" s="22"/>
    </row>
    <row r="71" spans="12:21" x14ac:dyDescent="0.4">
      <c r="L71" s="24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</v>
      </c>
      <c r="N71" s="2">
        <f>COUNTIF(Scenario3[winner1-ability2],ParagonAbilities2Scenario3[[#This Row],[ability]])</f>
        <v>1</v>
      </c>
      <c r="O71" s="13">
        <f>IF(SUM(ParagonAbilities2Scenario3[[#This Row],[takes]]) &gt; 0,ParagonAbilities2Scenario3[[#This Row],[takes]]/SUM(ParagonAbilities2Scenario3[takes]),0)</f>
        <v>4.7619047619047616E-2</v>
      </c>
      <c r="P71" s="13">
        <f>IF(ParagonAbilities2Scenario3[[#This Row],[takes]]&gt;0,ParagonAbilities2Scenario3[[#This Row],[wins]]/ParagonAbilities2Scenario3[[#This Row],[takes]],0)</f>
        <v>1</v>
      </c>
      <c r="Q71" s="20"/>
      <c r="R71" s="20"/>
      <c r="S71" s="20"/>
      <c r="T71" s="20"/>
      <c r="U71" s="22"/>
    </row>
    <row r="72" spans="12:21" x14ac:dyDescent="0.4">
      <c r="L72" s="19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20</v>
      </c>
      <c r="N72" s="2">
        <f>COUNTIF(Scenario3[winner1-ability2],ParagonAbilities2Scenario3[[#This Row],[ability]])</f>
        <v>9</v>
      </c>
      <c r="O72" s="21">
        <f>IF(SUM(ParagonAbilities2Scenario3[[#This Row],[takes]]) &gt; 0,ParagonAbilities2Scenario3[[#This Row],[takes]]/SUM(ParagonAbilities2Scenario3[takes]),0)</f>
        <v>0.95238095238095233</v>
      </c>
      <c r="P72" s="21">
        <f>IF(ParagonAbilities2Scenario3[[#This Row],[takes]]&gt;0,ParagonAbilities2Scenario3[[#This Row],[wins]]/ParagonAbilities2Scenario3[[#This Row],[takes]],0)</f>
        <v>0.45</v>
      </c>
      <c r="Q72" s="20"/>
      <c r="R72" s="20"/>
      <c r="S72" s="20"/>
      <c r="T72" s="20"/>
      <c r="U72" s="22"/>
    </row>
    <row r="73" spans="12:21" x14ac:dyDescent="0.4">
      <c r="L73" s="25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4">
        <f>IF(SUM(ParagonAbilities2Scenario3[[#This Row],[takes]]) &gt; 0,ParagonAbilities2Scenario3[[#This Row],[takes]]/SUM(ParagonAbilities2Scenario3[takes]),0)</f>
        <v>0</v>
      </c>
      <c r="P73" s="14">
        <f>IF(ParagonAbilities2Scenario3[[#This Row],[takes]]&gt;0,ParagonAbilities2Scenario3[[#This Row],[wins]]/ParagonAbilities2Scenario3[[#This Row],[takes]],0)</f>
        <v>0</v>
      </c>
      <c r="Q73" s="20"/>
      <c r="R73" s="20"/>
      <c r="S73" s="20"/>
      <c r="T73" s="20"/>
      <c r="U73" s="22"/>
    </row>
    <row r="74" spans="12:21" x14ac:dyDescent="0.4">
      <c r="L74" s="19"/>
      <c r="M74" s="20"/>
      <c r="N74" s="20"/>
      <c r="O74" s="21"/>
      <c r="P74" s="21"/>
      <c r="Q74" s="20"/>
      <c r="R74" s="20"/>
      <c r="S74" s="20"/>
      <c r="T74" s="20"/>
      <c r="U74" s="22"/>
    </row>
    <row r="75" spans="12:21" x14ac:dyDescent="0.4">
      <c r="L75" s="23" t="s">
        <v>109</v>
      </c>
      <c r="M75" s="9" t="s">
        <v>110</v>
      </c>
      <c r="N75" s="9" t="s">
        <v>79</v>
      </c>
      <c r="O75" s="10" t="s">
        <v>117</v>
      </c>
      <c r="P75" s="10" t="s">
        <v>118</v>
      </c>
      <c r="Q75" s="20"/>
      <c r="R75" s="20"/>
      <c r="S75" s="20"/>
      <c r="T75" s="20"/>
      <c r="U75" s="22"/>
    </row>
    <row r="76" spans="12:21" x14ac:dyDescent="0.4">
      <c r="L76" s="26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2</v>
      </c>
      <c r="N76" s="1">
        <f>COUNTIF(Scenario3[winner1-ability3],ParagonAbilities3Scenario3[[#This Row],[ability]])</f>
        <v>1</v>
      </c>
      <c r="O76" s="15">
        <f>IF(SUM(ParagonAbilities3Scenario3[[#This Row],[takes]]) &gt; 0,ParagonAbilities3Scenario3[[#This Row],[takes]]/SUM(ParagonAbilities3Scenario3[takes]),0)</f>
        <v>9.5238095238095233E-2</v>
      </c>
      <c r="P76" s="15">
        <f>IF(ParagonAbilities3Scenario3[[#This Row],[takes]]&gt;0,ParagonAbilities3Scenario3[[#This Row],[wins]]/ParagonAbilities3Scenario3[[#This Row],[takes]],0)</f>
        <v>0.5</v>
      </c>
      <c r="Q76" s="20"/>
      <c r="R76" s="20"/>
      <c r="S76" s="20"/>
      <c r="T76" s="20"/>
      <c r="U76" s="22"/>
    </row>
    <row r="77" spans="12:21" x14ac:dyDescent="0.4">
      <c r="L77" s="24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7</v>
      </c>
      <c r="N77" s="2">
        <f>COUNTIF(Scenario3[winner1-ability3],ParagonAbilities3Scenario3[[#This Row],[ability]])</f>
        <v>4</v>
      </c>
      <c r="O77" s="13">
        <f>IF(SUM(ParagonAbilities3Scenario3[[#This Row],[takes]]) &gt; 0,ParagonAbilities3Scenario3[[#This Row],[takes]]/SUM(ParagonAbilities3Scenario3[takes]),0)</f>
        <v>0.33333333333333331</v>
      </c>
      <c r="P77" s="13">
        <f>IF(ParagonAbilities3Scenario3[[#This Row],[takes]]&gt;0,ParagonAbilities3Scenario3[[#This Row],[wins]]/ParagonAbilities3Scenario3[[#This Row],[takes]],0)</f>
        <v>0.5714285714285714</v>
      </c>
      <c r="Q77" s="20"/>
      <c r="R77" s="20"/>
      <c r="S77" s="20"/>
      <c r="T77" s="20"/>
      <c r="U77" s="22"/>
    </row>
    <row r="78" spans="12:21" x14ac:dyDescent="0.4">
      <c r="L78" s="27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12</v>
      </c>
      <c r="N78" s="1">
        <f>COUNTIF(Scenario3[winner1-ability3],ParagonAbilities3Scenario3[[#This Row],[ability]])</f>
        <v>5</v>
      </c>
      <c r="O78" s="16">
        <f>IF(SUM(ParagonAbilities3Scenario3[[#This Row],[takes]]) &gt; 0,ParagonAbilities3Scenario3[[#This Row],[takes]]/SUM(ParagonAbilities3Scenario3[takes]),0)</f>
        <v>0.5714285714285714</v>
      </c>
      <c r="P78" s="16">
        <f>IF(ParagonAbilities3Scenario3[[#This Row],[takes]]&gt;0,ParagonAbilities3Scenario3[[#This Row],[wins]]/ParagonAbilities3Scenario3[[#This Row],[takes]],0)</f>
        <v>0.41666666666666669</v>
      </c>
      <c r="Q78" s="20"/>
      <c r="R78" s="20"/>
      <c r="S78" s="20"/>
      <c r="T78" s="20"/>
      <c r="U78" s="22"/>
    </row>
    <row r="79" spans="12:21" x14ac:dyDescent="0.4">
      <c r="L79" s="19"/>
      <c r="M79" s="20"/>
      <c r="N79" s="20"/>
      <c r="O79" s="21"/>
      <c r="P79" s="21"/>
      <c r="Q79" s="20"/>
      <c r="R79" s="20"/>
      <c r="S79" s="20"/>
      <c r="T79" s="20"/>
      <c r="U79" s="22"/>
    </row>
    <row r="80" spans="12:21" x14ac:dyDescent="0.4">
      <c r="L80" s="23" t="s">
        <v>109</v>
      </c>
      <c r="M80" s="9" t="s">
        <v>110</v>
      </c>
      <c r="N80" s="9" t="s">
        <v>79</v>
      </c>
      <c r="O80" s="10" t="s">
        <v>117</v>
      </c>
      <c r="P80" s="10" t="s">
        <v>118</v>
      </c>
      <c r="Q80" s="20"/>
      <c r="R80" s="20"/>
      <c r="S80" s="20"/>
      <c r="T80" s="20"/>
      <c r="U80" s="22"/>
    </row>
    <row r="81" spans="12:21" x14ac:dyDescent="0.4">
      <c r="L81" s="24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1" s="2">
        <f>COUNTIF(Scenario3[winner1-ability4],ParagonAbilities4Scenario3[[#This Row],[ability]])</f>
        <v>0</v>
      </c>
      <c r="O81" s="13">
        <f>IF(SUM(ParagonAbilities4Scenario3[[#This Row],[takes]]) &gt; 0,ParagonAbilities4Scenario3[[#This Row],[takes]]/SUM(ParagonAbilities4Scenario3[takes]),0)</f>
        <v>5.8823529411764705E-2</v>
      </c>
      <c r="P81" s="13">
        <f>IF(ParagonAbilities4Scenario3[[#This Row],[takes]]&gt;0,ParagonAbilities4Scenario3[[#This Row],[wins]]/ParagonAbilities4Scenario3[[#This Row],[takes]],0)</f>
        <v>0</v>
      </c>
      <c r="Q81" s="20"/>
      <c r="R81" s="20"/>
      <c r="S81" s="20"/>
      <c r="T81" s="20"/>
      <c r="U81" s="22"/>
    </row>
    <row r="82" spans="12:21" x14ac:dyDescent="0.4">
      <c r="L82" s="24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16</v>
      </c>
      <c r="N82" s="2">
        <f>COUNTIF(Scenario3[winner1-ability4],ParagonAbilities4Scenario3[[#This Row],[ability]])</f>
        <v>10</v>
      </c>
      <c r="O82" s="13">
        <f>IF(SUM(ParagonAbilities4Scenario3[[#This Row],[takes]]) &gt; 0,ParagonAbilities4Scenario3[[#This Row],[takes]]/SUM(ParagonAbilities4Scenario3[takes]),0)</f>
        <v>0.94117647058823528</v>
      </c>
      <c r="P82" s="13">
        <f>IF(ParagonAbilities4Scenario3[[#This Row],[takes]]&gt;0,ParagonAbilities4Scenario3[[#This Row],[wins]]/ParagonAbilities4Scenario3[[#This Row],[takes]],0)</f>
        <v>0.625</v>
      </c>
      <c r="Q82" s="20"/>
      <c r="R82" s="20"/>
      <c r="S82" s="20"/>
      <c r="T82" s="20"/>
      <c r="U82" s="22"/>
    </row>
    <row r="83" spans="12:21" ht="15" thickBot="1" x14ac:dyDescent="0.45">
      <c r="L83" s="28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30">
        <f>IF(SUM(ParagonAbilities4Scenario3[[#This Row],[takes]]) &gt; 0,ParagonAbilities4Scenario3[[#This Row],[takes]]/SUM(ParagonAbilities4Scenario3[takes]),0)</f>
        <v>0</v>
      </c>
      <c r="P83" s="30">
        <f>IF(ParagonAbilities4Scenario3[[#This Row],[takes]]&gt;0,ParagonAbilities4Scenario3[[#This Row],[wins]]/ParagonAbilities4Scenario3[[#This Row],[takes]],0)</f>
        <v>0</v>
      </c>
      <c r="Q83" s="31"/>
      <c r="R83" s="31"/>
      <c r="S83" s="31"/>
      <c r="T83" s="31"/>
      <c r="U83" s="32"/>
    </row>
    <row r="84" spans="12:21" ht="15" thickBot="1" x14ac:dyDescent="0.45"/>
    <row r="85" spans="12:21" ht="15" thickBot="1" x14ac:dyDescent="0.45">
      <c r="L85" s="41" t="s">
        <v>752</v>
      </c>
      <c r="M85" s="42"/>
      <c r="N85" s="42"/>
      <c r="O85" s="42"/>
      <c r="P85" s="42"/>
      <c r="Q85" s="42"/>
      <c r="R85" s="42"/>
      <c r="S85" s="42"/>
      <c r="T85" s="42"/>
      <c r="U85" s="43"/>
    </row>
    <row r="86" spans="12:21" x14ac:dyDescent="0.4">
      <c r="L86" s="19" t="s">
        <v>109</v>
      </c>
      <c r="M86" s="20" t="s">
        <v>110</v>
      </c>
      <c r="N86" s="20" t="s">
        <v>79</v>
      </c>
      <c r="O86" s="21" t="s">
        <v>117</v>
      </c>
      <c r="P86" s="21" t="s">
        <v>118</v>
      </c>
      <c r="Q86" s="20"/>
      <c r="R86" s="20" t="s">
        <v>161</v>
      </c>
      <c r="S86" s="20" t="s">
        <v>162</v>
      </c>
      <c r="T86" s="20" t="s">
        <v>163</v>
      </c>
      <c r="U86" s="22" t="s">
        <v>164</v>
      </c>
    </row>
    <row r="87" spans="12:21" x14ac:dyDescent="0.4">
      <c r="L87" s="19" t="s">
        <v>54</v>
      </c>
      <c r="M87" s="20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</v>
      </c>
      <c r="N87" s="20">
        <f>COUNTIF(Scenario4[winner1-ability1],ParagonAbilities1Scenario4[[#This Row],[ability]])</f>
        <v>0</v>
      </c>
      <c r="O87" s="21">
        <f>IF(SUM(ParagonAbilities1Scenario4[[#This Row],[takes]]) &gt; 0,ParagonAbilities1Scenario4[[#This Row],[takes]]/SUM(ParagonAbilities1Scenario4[takes]),0)</f>
        <v>8.5714285714285715E-2</v>
      </c>
      <c r="P87" s="21">
        <f>IF(ParagonAbilities1Scenario4[[#This Row],[takes]]&gt;0,ParagonAbilities1Scenario4[[#This Row],[wins]]/ParagonAbilities1Scenario4[[#This Row],[takes]],0)</f>
        <v>0</v>
      </c>
      <c r="Q87" s="20"/>
      <c r="R87" s="20">
        <v>1</v>
      </c>
      <c r="S87" s="20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12</v>
      </c>
      <c r="T87" s="20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12</v>
      </c>
      <c r="U87" s="22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8" spans="12:21" x14ac:dyDescent="0.4">
      <c r="L88" s="19" t="s">
        <v>111</v>
      </c>
      <c r="M88" s="20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2</v>
      </c>
      <c r="N88" s="20">
        <f>COUNTIF(Scenario4[winner1-ability1],ParagonAbilities1Scenario4[[#This Row],[ability]])</f>
        <v>1</v>
      </c>
      <c r="O88" s="21">
        <f>IF(SUM(ParagonAbilities1Scenario4[[#This Row],[takes]]) &gt; 0,ParagonAbilities1Scenario4[[#This Row],[takes]]/SUM(ParagonAbilities1Scenario4[takes]),0)</f>
        <v>5.7142857142857141E-2</v>
      </c>
      <c r="P88" s="21">
        <f>IF(ParagonAbilities1Scenario4[[#This Row],[takes]]&gt;0,ParagonAbilities1Scenario4[[#This Row],[wins]]/ParagonAbilities1Scenario4[[#This Row],[takes]],0)</f>
        <v>0.5</v>
      </c>
      <c r="Q88" s="20"/>
      <c r="R88" s="20">
        <v>2</v>
      </c>
      <c r="S88" s="20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10</v>
      </c>
      <c r="T88" s="20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5</v>
      </c>
      <c r="U88" s="22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</v>
      </c>
    </row>
    <row r="89" spans="12:21" x14ac:dyDescent="0.4">
      <c r="L89" s="19" t="s">
        <v>112</v>
      </c>
      <c r="M89" s="20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30</v>
      </c>
      <c r="N89" s="20">
        <f>COUNTIF(Scenario4[winner1-ability1],ParagonAbilities1Scenario4[[#This Row],[ability]])</f>
        <v>2</v>
      </c>
      <c r="O89" s="21">
        <f>IF(SUM(ParagonAbilities1Scenario4[[#This Row],[takes]]) &gt; 0,ParagonAbilities1Scenario4[[#This Row],[takes]]/SUM(ParagonAbilities1Scenario4[takes]),0)</f>
        <v>0.8571428571428571</v>
      </c>
      <c r="P89" s="21">
        <f>IF(ParagonAbilities1Scenario4[[#This Row],[takes]]&gt;0,ParagonAbilities1Scenario4[[#This Row],[wins]]/ParagonAbilities1Scenario4[[#This Row],[takes]],0)</f>
        <v>6.6666666666666666E-2</v>
      </c>
      <c r="Q89" s="20"/>
      <c r="R89" s="20">
        <v>3</v>
      </c>
      <c r="S89" s="20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13</v>
      </c>
      <c r="T89" s="20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18</v>
      </c>
      <c r="U89" s="22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32</v>
      </c>
    </row>
    <row r="90" spans="12:21" x14ac:dyDescent="0.4">
      <c r="L90" s="19"/>
      <c r="M90" s="20"/>
      <c r="N90" s="20"/>
      <c r="O90" s="21"/>
      <c r="P90" s="21"/>
      <c r="Q90" s="20"/>
      <c r="R90" s="20"/>
      <c r="S90" s="20"/>
      <c r="T90" s="20"/>
      <c r="U90" s="22"/>
    </row>
    <row r="91" spans="12:21" x14ac:dyDescent="0.4">
      <c r="L91" s="23" t="s">
        <v>109</v>
      </c>
      <c r="M91" s="9" t="s">
        <v>110</v>
      </c>
      <c r="N91" s="9" t="s">
        <v>79</v>
      </c>
      <c r="O91" s="10" t="s">
        <v>117</v>
      </c>
      <c r="P91" s="10" t="s">
        <v>118</v>
      </c>
      <c r="Q91" s="20"/>
      <c r="R91" s="20"/>
      <c r="S91" s="20"/>
      <c r="T91" s="20"/>
      <c r="U91" s="22"/>
    </row>
    <row r="92" spans="12:21" x14ac:dyDescent="0.4">
      <c r="L92" s="24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2" s="2">
        <f>COUNTIF(Scenario4[winner1-ability2],ParagonAbilities2Scenario4[[#This Row],[ability]])</f>
        <v>0</v>
      </c>
      <c r="O92" s="13">
        <f>IF(SUM(ParagonAbilities2Scenario4[[#This Row],[takes]]) &gt; 0,ParagonAbilities2Scenario4[[#This Row],[takes]]/SUM(ParagonAbilities2Scenario4[takes]),0)</f>
        <v>0</v>
      </c>
      <c r="P92" s="13">
        <f>IF(ParagonAbilities2Scenario4[[#This Row],[takes]]&gt;0,ParagonAbilities2Scenario4[[#This Row],[wins]]/ParagonAbilities2Scenario4[[#This Row],[takes]],0)</f>
        <v>0</v>
      </c>
      <c r="Q92" s="20"/>
      <c r="R92" s="20"/>
      <c r="S92" s="20"/>
      <c r="T92" s="20"/>
      <c r="U92" s="22"/>
    </row>
    <row r="93" spans="12:21" x14ac:dyDescent="0.4">
      <c r="L93" s="19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35</v>
      </c>
      <c r="N93" s="2">
        <f>COUNTIF(Scenario4[winner1-ability2],ParagonAbilities2Scenario4[[#This Row],[ability]])</f>
        <v>3</v>
      </c>
      <c r="O93" s="21">
        <f>IF(SUM(ParagonAbilities2Scenario4[[#This Row],[takes]]) &gt; 0,ParagonAbilities2Scenario4[[#This Row],[takes]]/SUM(ParagonAbilities2Scenario4[takes]),0)</f>
        <v>1</v>
      </c>
      <c r="P93" s="21">
        <f>IF(ParagonAbilities2Scenario4[[#This Row],[takes]]&gt;0,ParagonAbilities2Scenario4[[#This Row],[wins]]/ParagonAbilities2Scenario4[[#This Row],[takes]],0)</f>
        <v>8.5714285714285715E-2</v>
      </c>
      <c r="Q93" s="20"/>
      <c r="R93" s="20"/>
      <c r="S93" s="20"/>
      <c r="T93" s="20"/>
      <c r="U93" s="22"/>
    </row>
    <row r="94" spans="12:21" x14ac:dyDescent="0.4">
      <c r="L94" s="25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4">
        <f>IF(SUM(ParagonAbilities2Scenario4[[#This Row],[takes]]) &gt; 0,ParagonAbilities2Scenario4[[#This Row],[takes]]/SUM(ParagonAbilities2Scenario4[takes]),0)</f>
        <v>0</v>
      </c>
      <c r="P94" s="14">
        <f>IF(ParagonAbilities2Scenario4[[#This Row],[takes]]&gt;0,ParagonAbilities2Scenario4[[#This Row],[wins]]/ParagonAbilities2Scenario4[[#This Row],[takes]],0)</f>
        <v>0</v>
      </c>
      <c r="Q94" s="20"/>
      <c r="R94" s="20"/>
      <c r="S94" s="20"/>
      <c r="T94" s="20"/>
      <c r="U94" s="22"/>
    </row>
    <row r="95" spans="12:21" x14ac:dyDescent="0.4">
      <c r="L95" s="19"/>
      <c r="M95" s="20"/>
      <c r="N95" s="20"/>
      <c r="O95" s="21"/>
      <c r="P95" s="21"/>
      <c r="Q95" s="20"/>
      <c r="R95" s="20"/>
      <c r="S95" s="20"/>
      <c r="T95" s="20"/>
      <c r="U95" s="22"/>
    </row>
    <row r="96" spans="12:21" x14ac:dyDescent="0.4">
      <c r="L96" s="23" t="s">
        <v>109</v>
      </c>
      <c r="M96" s="9" t="s">
        <v>110</v>
      </c>
      <c r="N96" s="9" t="s">
        <v>79</v>
      </c>
      <c r="O96" s="10" t="s">
        <v>117</v>
      </c>
      <c r="P96" s="10" t="s">
        <v>118</v>
      </c>
      <c r="Q96" s="20"/>
      <c r="R96" s="20"/>
      <c r="S96" s="20"/>
      <c r="T96" s="20"/>
      <c r="U96" s="22"/>
    </row>
    <row r="97" spans="12:21" x14ac:dyDescent="0.4">
      <c r="L97" s="26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6</v>
      </c>
      <c r="N97" s="1">
        <f>COUNTIF(Scenario4[winner1-ability3],ParagonAbilities3Scenario4[[#This Row],[ability]])</f>
        <v>2</v>
      </c>
      <c r="O97" s="15">
        <f>IF(SUM(ParagonAbilities3Scenario4[[#This Row],[takes]]) &gt; 0,ParagonAbilities3Scenario4[[#This Row],[takes]]/SUM(ParagonAbilities3Scenario4[takes]),0)</f>
        <v>0.17142857142857143</v>
      </c>
      <c r="P97" s="15">
        <f>IF(ParagonAbilities3Scenario4[[#This Row],[takes]]&gt;0,ParagonAbilities3Scenario4[[#This Row],[wins]]/ParagonAbilities3Scenario4[[#This Row],[takes]],0)</f>
        <v>0.33333333333333331</v>
      </c>
      <c r="Q97" s="20"/>
      <c r="R97" s="20"/>
      <c r="S97" s="20"/>
      <c r="T97" s="20"/>
      <c r="U97" s="22"/>
    </row>
    <row r="98" spans="12:21" x14ac:dyDescent="0.4">
      <c r="L98" s="24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11</v>
      </c>
      <c r="N98" s="2">
        <f>COUNTIF(Scenario4[winner1-ability3],ParagonAbilities3Scenario4[[#This Row],[ability]])</f>
        <v>1</v>
      </c>
      <c r="O98" s="13">
        <f>IF(SUM(ParagonAbilities3Scenario4[[#This Row],[takes]]) &gt; 0,ParagonAbilities3Scenario4[[#This Row],[takes]]/SUM(ParagonAbilities3Scenario4[takes]),0)</f>
        <v>0.31428571428571428</v>
      </c>
      <c r="P98" s="13">
        <f>IF(ParagonAbilities3Scenario4[[#This Row],[takes]]&gt;0,ParagonAbilities3Scenario4[[#This Row],[wins]]/ParagonAbilities3Scenario4[[#This Row],[takes]],0)</f>
        <v>9.0909090909090912E-2</v>
      </c>
      <c r="Q98" s="20"/>
      <c r="R98" s="20"/>
      <c r="S98" s="20"/>
      <c r="T98" s="20"/>
      <c r="U98" s="22"/>
    </row>
    <row r="99" spans="12:21" x14ac:dyDescent="0.4">
      <c r="L99" s="27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18</v>
      </c>
      <c r="N99" s="1">
        <f>COUNTIF(Scenario4[winner1-ability3],ParagonAbilities3Scenario4[[#This Row],[ability]])</f>
        <v>0</v>
      </c>
      <c r="O99" s="16">
        <f>IF(SUM(ParagonAbilities3Scenario4[[#This Row],[takes]]) &gt; 0,ParagonAbilities3Scenario4[[#This Row],[takes]]/SUM(ParagonAbilities3Scenario4[takes]),0)</f>
        <v>0.51428571428571423</v>
      </c>
      <c r="P99" s="16">
        <f>IF(ParagonAbilities3Scenario4[[#This Row],[takes]]&gt;0,ParagonAbilities3Scenario4[[#This Row],[wins]]/ParagonAbilities3Scenario4[[#This Row],[takes]],0)</f>
        <v>0</v>
      </c>
      <c r="Q99" s="20"/>
      <c r="R99" s="20"/>
      <c r="S99" s="20"/>
      <c r="T99" s="20"/>
      <c r="U99" s="22"/>
    </row>
    <row r="100" spans="12:21" x14ac:dyDescent="0.4">
      <c r="L100" s="19"/>
      <c r="M100" s="20"/>
      <c r="N100" s="20"/>
      <c r="O100" s="21"/>
      <c r="P100" s="21"/>
      <c r="Q100" s="20"/>
      <c r="R100" s="20"/>
      <c r="S100" s="20"/>
      <c r="T100" s="20"/>
      <c r="U100" s="22"/>
    </row>
    <row r="101" spans="12:21" x14ac:dyDescent="0.4">
      <c r="L101" s="23" t="s">
        <v>109</v>
      </c>
      <c r="M101" s="9" t="s">
        <v>110</v>
      </c>
      <c r="N101" s="9" t="s">
        <v>79</v>
      </c>
      <c r="O101" s="10" t="s">
        <v>117</v>
      </c>
      <c r="P101" s="10" t="s">
        <v>118</v>
      </c>
      <c r="Q101" s="20"/>
      <c r="R101" s="20"/>
      <c r="S101" s="20"/>
      <c r="T101" s="20"/>
      <c r="U101" s="22"/>
    </row>
    <row r="102" spans="12:21" x14ac:dyDescent="0.4">
      <c r="L102" s="24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2</v>
      </c>
      <c r="N102" s="2">
        <f>COUNTIF(Scenario4[winner1-ability4],ParagonAbilities4Scenario4[[#This Row],[ability]])</f>
        <v>0</v>
      </c>
      <c r="O102" s="13">
        <f>IF(SUM(ParagonAbilities4Scenario4[[#This Row],[takes]]) &gt; 0,ParagonAbilities4Scenario4[[#This Row],[takes]]/SUM(ParagonAbilities4Scenario4[takes]),0)</f>
        <v>6.6666666666666666E-2</v>
      </c>
      <c r="P102" s="13">
        <f>IF(ParagonAbilities4Scenario4[[#This Row],[takes]]&gt;0,ParagonAbilities4Scenario4[[#This Row],[wins]]/ParagonAbilities4Scenario4[[#This Row],[takes]],0)</f>
        <v>0</v>
      </c>
      <c r="Q102" s="20"/>
      <c r="R102" s="20"/>
      <c r="S102" s="20"/>
      <c r="T102" s="20"/>
      <c r="U102" s="22"/>
    </row>
    <row r="103" spans="12:21" x14ac:dyDescent="0.4">
      <c r="L103" s="24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28</v>
      </c>
      <c r="N103" s="2">
        <f>COUNTIF(Scenario4[winner1-ability4],ParagonAbilities4Scenario4[[#This Row],[ability]])</f>
        <v>3</v>
      </c>
      <c r="O103" s="13">
        <f>IF(SUM(ParagonAbilities4Scenario4[[#This Row],[takes]]) &gt; 0,ParagonAbilities4Scenario4[[#This Row],[takes]]/SUM(ParagonAbilities4Scenario4[takes]),0)</f>
        <v>0.93333333333333335</v>
      </c>
      <c r="P103" s="13">
        <f>IF(ParagonAbilities4Scenario4[[#This Row],[takes]]&gt;0,ParagonAbilities4Scenario4[[#This Row],[wins]]/ParagonAbilities4Scenario4[[#This Row],[takes]],0)</f>
        <v>0.10714285714285714</v>
      </c>
      <c r="Q103" s="20"/>
      <c r="R103" s="20"/>
      <c r="S103" s="20"/>
      <c r="T103" s="20"/>
      <c r="U103" s="22"/>
    </row>
    <row r="104" spans="12:21" ht="15" thickBot="1" x14ac:dyDescent="0.45">
      <c r="L104" s="28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30">
        <f>IF(SUM(ParagonAbilities4Scenario4[[#This Row],[takes]]) &gt; 0,ParagonAbilities4Scenario4[[#This Row],[takes]]/SUM(ParagonAbilities4Scenario4[takes]),0)</f>
        <v>0</v>
      </c>
      <c r="P104" s="30">
        <f>IF(ParagonAbilities4Scenario4[[#This Row],[takes]]&gt;0,ParagonAbilities4Scenario4[[#This Row],[wins]]/ParagonAbilities4Scenario4[[#This Row],[takes]],0)</f>
        <v>0</v>
      </c>
      <c r="Q104" s="31"/>
      <c r="R104" s="31"/>
      <c r="S104" s="31"/>
      <c r="T104" s="31"/>
      <c r="U104" s="32"/>
    </row>
    <row r="105" spans="12:21" ht="15" thickBot="1" x14ac:dyDescent="0.45"/>
    <row r="106" spans="12:21" ht="15" thickBot="1" x14ac:dyDescent="0.45">
      <c r="L106" s="41" t="s">
        <v>824</v>
      </c>
      <c r="M106" s="42"/>
      <c r="N106" s="42"/>
      <c r="O106" s="42"/>
      <c r="P106" s="42"/>
      <c r="Q106" s="42"/>
      <c r="R106" s="42"/>
      <c r="S106" s="42"/>
      <c r="T106" s="42"/>
      <c r="U106" s="43"/>
    </row>
    <row r="107" spans="12:21" x14ac:dyDescent="0.4">
      <c r="L107" s="19" t="s">
        <v>109</v>
      </c>
      <c r="M107" s="20" t="s">
        <v>110</v>
      </c>
      <c r="N107" s="20" t="s">
        <v>79</v>
      </c>
      <c r="O107" s="21" t="s">
        <v>117</v>
      </c>
      <c r="P107" s="21" t="s">
        <v>118</v>
      </c>
      <c r="Q107" s="20"/>
      <c r="R107" s="20" t="s">
        <v>161</v>
      </c>
      <c r="S107" s="20" t="s">
        <v>162</v>
      </c>
      <c r="T107" s="20" t="s">
        <v>163</v>
      </c>
      <c r="U107" s="22" t="s">
        <v>164</v>
      </c>
    </row>
    <row r="108" spans="12:21" x14ac:dyDescent="0.4">
      <c r="L108" s="19" t="s">
        <v>54</v>
      </c>
      <c r="M108" s="2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 s="20">
        <f>COUNTIF(Scenario5[winner1-ability1],ParagonAbilities1Scenario5[[#This Row],[ability]])+COUNTIF(Scenario5[winner2-ability1],ParagonAbilities1Scenario5[[#This Row],[ability]])</f>
        <v>0</v>
      </c>
      <c r="O108" s="21">
        <f>IF(SUM(ParagonAbilities1Scenario5[[#This Row],[takes]]) &gt; 0,ParagonAbilities1Scenario5[[#This Row],[takes]]/SUM(ParagonAbilities1Scenario5[takes]),0)</f>
        <v>0</v>
      </c>
      <c r="P108" s="21">
        <f>IF(ParagonAbilities1Scenario5[[#This Row],[takes]]&gt;0,ParagonAbilities1Scenario5[[#This Row],[wins]]/ParagonAbilities1Scenario5[[#This Row],[takes]],0)</f>
        <v>0</v>
      </c>
      <c r="Q108" s="20"/>
      <c r="R108" s="20">
        <v>1</v>
      </c>
      <c r="S108" s="2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6</v>
      </c>
      <c r="T108" s="2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11</v>
      </c>
      <c r="U108" s="22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</v>
      </c>
    </row>
    <row r="109" spans="12:21" x14ac:dyDescent="0.4">
      <c r="L109" s="19" t="s">
        <v>111</v>
      </c>
      <c r="M109" s="2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</v>
      </c>
      <c r="N109" s="20">
        <f>COUNTIF(Scenario5[winner1-ability1],ParagonAbilities1Scenario5[[#This Row],[ability]])+COUNTIF(Scenario5[winner2-ability1],ParagonAbilities1Scenario5[[#This Row],[ability]])</f>
        <v>1</v>
      </c>
      <c r="O109" s="21">
        <f>IF(SUM(ParagonAbilities1Scenario5[[#This Row],[takes]]) &gt; 0,ParagonAbilities1Scenario5[[#This Row],[takes]]/SUM(ParagonAbilities1Scenario5[takes]),0)</f>
        <v>8.3333333333333329E-2</v>
      </c>
      <c r="P109" s="21">
        <f>IF(ParagonAbilities1Scenario5[[#This Row],[takes]]&gt;0,ParagonAbilities1Scenario5[[#This Row],[wins]]/ParagonAbilities1Scenario5[[#This Row],[takes]],0)</f>
        <v>1</v>
      </c>
      <c r="Q109" s="20"/>
      <c r="R109" s="20">
        <v>2</v>
      </c>
      <c r="S109" s="2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</v>
      </c>
      <c r="T109" s="2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0</v>
      </c>
      <c r="U109" s="22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5</v>
      </c>
    </row>
    <row r="110" spans="12:21" x14ac:dyDescent="0.4">
      <c r="L110" s="19" t="s">
        <v>112</v>
      </c>
      <c r="M110" s="2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11</v>
      </c>
      <c r="N110" s="20">
        <f>COUNTIF(Scenario5[winner1-ability1],ParagonAbilities1Scenario5[[#This Row],[ability]])+COUNTIF(Scenario5[winner2-ability1],ParagonAbilities1Scenario5[[#This Row],[ability]])</f>
        <v>7</v>
      </c>
      <c r="O110" s="21">
        <f>IF(SUM(ParagonAbilities1Scenario5[[#This Row],[takes]]) &gt; 0,ParagonAbilities1Scenario5[[#This Row],[takes]]/SUM(ParagonAbilities1Scenario5[takes]),0)</f>
        <v>0.91666666666666663</v>
      </c>
      <c r="P110" s="21">
        <f>IF(ParagonAbilities1Scenario5[[#This Row],[takes]]&gt;0,ParagonAbilities1Scenario5[[#This Row],[wins]]/ParagonAbilities1Scenario5[[#This Row],[takes]],0)</f>
        <v>0.63636363636363635</v>
      </c>
      <c r="Q110" s="20"/>
      <c r="R110" s="20">
        <v>3</v>
      </c>
      <c r="S110" s="2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</v>
      </c>
      <c r="T110" s="2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</v>
      </c>
      <c r="U110" s="22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</v>
      </c>
    </row>
    <row r="111" spans="12:21" x14ac:dyDescent="0.4">
      <c r="L111" s="19"/>
      <c r="M111" s="20"/>
      <c r="N111" s="20"/>
      <c r="O111" s="21"/>
      <c r="P111" s="21"/>
      <c r="Q111" s="20"/>
      <c r="R111" s="20"/>
      <c r="S111" s="20"/>
      <c r="T111" s="20"/>
      <c r="U111" s="22"/>
    </row>
    <row r="112" spans="12:21" x14ac:dyDescent="0.4">
      <c r="L112" s="23" t="s">
        <v>109</v>
      </c>
      <c r="M112" s="9" t="s">
        <v>110</v>
      </c>
      <c r="N112" s="9" t="s">
        <v>79</v>
      </c>
      <c r="O112" s="10" t="s">
        <v>117</v>
      </c>
      <c r="P112" s="10" t="s">
        <v>118</v>
      </c>
      <c r="Q112" s="20"/>
      <c r="R112" s="20"/>
      <c r="S112" s="20"/>
      <c r="T112" s="20"/>
      <c r="U112" s="22"/>
    </row>
    <row r="113" spans="12:21" x14ac:dyDescent="0.4">
      <c r="L113" s="24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0</v>
      </c>
      <c r="N113" s="2">
        <f>COUNTIF(Scenario5[winner1-ability2],ParagonAbilities2Scenario5[[#This Row],[ability]])+COUNTIF(Scenario5[winner2-ability2],ParagonAbilities2Scenario5[[#This Row],[ability]])</f>
        <v>0</v>
      </c>
      <c r="O113" s="13">
        <f>IF(SUM(ParagonAbilities2Scenario5[[#This Row],[takes]]) &gt; 0,ParagonAbilities2Scenario5[[#This Row],[takes]]/SUM(ParagonAbilities2Scenario5[takes]),0)</f>
        <v>0</v>
      </c>
      <c r="P113" s="13">
        <f>IF(ParagonAbilities2Scenario5[[#This Row],[takes]]&gt;0,ParagonAbilities2Scenario5[[#This Row],[wins]]/ParagonAbilities2Scenario5[[#This Row],[takes]],0)</f>
        <v>0</v>
      </c>
      <c r="Q113" s="20"/>
      <c r="R113" s="20"/>
      <c r="S113" s="20"/>
      <c r="T113" s="20"/>
      <c r="U113" s="22"/>
    </row>
    <row r="114" spans="12:21" x14ac:dyDescent="0.4">
      <c r="L114" s="19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12</v>
      </c>
      <c r="N114" s="2">
        <f>COUNTIF(Scenario5[winner1-ability2],ParagonAbilities2Scenario5[[#This Row],[ability]])+COUNTIF(Scenario5[winner2-ability2],ParagonAbilities2Scenario5[[#This Row],[ability]])</f>
        <v>8</v>
      </c>
      <c r="O114" s="21">
        <f>IF(SUM(ParagonAbilities2Scenario5[[#This Row],[takes]]) &gt; 0,ParagonAbilities2Scenario5[[#This Row],[takes]]/SUM(ParagonAbilities2Scenario5[takes]),0)</f>
        <v>1</v>
      </c>
      <c r="P114" s="21">
        <f>IF(ParagonAbilities2Scenario5[[#This Row],[takes]]&gt;0,ParagonAbilities2Scenario5[[#This Row],[wins]]/ParagonAbilities2Scenario5[[#This Row],[takes]],0)</f>
        <v>0.66666666666666663</v>
      </c>
      <c r="Q114" s="20"/>
      <c r="R114" s="20"/>
      <c r="S114" s="20"/>
      <c r="T114" s="20"/>
      <c r="U114" s="22"/>
    </row>
    <row r="115" spans="12:21" x14ac:dyDescent="0.4">
      <c r="L115" s="25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0</v>
      </c>
      <c r="N115" s="2">
        <f>COUNTIF(Scenario5[winner1-ability2],ParagonAbilities2Scenario5[[#This Row],[ability]])+COUNTIF(Scenario5[winner2-ability2],ParagonAbilities2Scenario5[[#This Row],[ability]])</f>
        <v>0</v>
      </c>
      <c r="O115" s="14">
        <f>IF(SUM(ParagonAbilities2Scenario5[[#This Row],[takes]]) &gt; 0,ParagonAbilities2Scenario5[[#This Row],[takes]]/SUM(ParagonAbilities2Scenario5[takes]),0)</f>
        <v>0</v>
      </c>
      <c r="P115" s="14">
        <f>IF(ParagonAbilities2Scenario5[[#This Row],[takes]]&gt;0,ParagonAbilities2Scenario5[[#This Row],[wins]]/ParagonAbilities2Scenario5[[#This Row],[takes]],0)</f>
        <v>0</v>
      </c>
      <c r="Q115" s="20"/>
      <c r="R115" s="20"/>
      <c r="S115" s="20"/>
      <c r="T115" s="20"/>
      <c r="U115" s="22"/>
    </row>
    <row r="116" spans="12:21" x14ac:dyDescent="0.4">
      <c r="L116" s="19"/>
      <c r="M116" s="20"/>
      <c r="N116" s="20"/>
      <c r="O116" s="21"/>
      <c r="P116" s="21"/>
      <c r="Q116" s="20"/>
      <c r="R116" s="20"/>
      <c r="S116" s="20"/>
      <c r="T116" s="20"/>
      <c r="U116" s="22"/>
    </row>
    <row r="117" spans="12:21" x14ac:dyDescent="0.4">
      <c r="L117" s="23" t="s">
        <v>109</v>
      </c>
      <c r="M117" s="9" t="s">
        <v>110</v>
      </c>
      <c r="N117" s="9" t="s">
        <v>79</v>
      </c>
      <c r="O117" s="10" t="s">
        <v>117</v>
      </c>
      <c r="P117" s="10" t="s">
        <v>118</v>
      </c>
      <c r="Q117" s="20"/>
      <c r="R117" s="20"/>
      <c r="S117" s="20"/>
      <c r="T117" s="20"/>
      <c r="U117" s="22"/>
    </row>
    <row r="118" spans="12:21" x14ac:dyDescent="0.4">
      <c r="L118" s="26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0</v>
      </c>
      <c r="N118" s="1">
        <f>COUNTIF(Scenario5[winner1-ability3],ParagonAbilities3Scenario5[[#This Row],[ability]])+COUNTIF(Scenario5[winner2-ability3],ParagonAbilities3Scenario5[[#This Row],[ability]])</f>
        <v>0</v>
      </c>
      <c r="O118" s="15">
        <f>IF(SUM(ParagonAbilities3Scenario5[[#This Row],[takes]]) &gt; 0,ParagonAbilities3Scenario5[[#This Row],[takes]]/SUM(ParagonAbilities3Scenario5[takes]),0)</f>
        <v>0</v>
      </c>
      <c r="P118" s="15">
        <f>IF(ParagonAbilities3Scenario5[[#This Row],[takes]]&gt;0,ParagonAbilities3Scenario5[[#This Row],[wins]]/ParagonAbilities3Scenario5[[#This Row],[takes]],0)</f>
        <v>0</v>
      </c>
      <c r="Q118" s="20"/>
      <c r="R118" s="20"/>
      <c r="S118" s="20"/>
      <c r="T118" s="20"/>
      <c r="U118" s="22"/>
    </row>
    <row r="119" spans="12:21" x14ac:dyDescent="0.4">
      <c r="L119" s="24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6</v>
      </c>
      <c r="N119" s="2">
        <f>COUNTIF(Scenario5[winner1-ability3],ParagonAbilities3Scenario5[[#This Row],[ability]])+COUNTIF(Scenario5[winner2-ability3],ParagonAbilities3Scenario5[[#This Row],[ability]])</f>
        <v>5</v>
      </c>
      <c r="O119" s="13">
        <f>IF(SUM(ParagonAbilities3Scenario5[[#This Row],[takes]]) &gt; 0,ParagonAbilities3Scenario5[[#This Row],[takes]]/SUM(ParagonAbilities3Scenario5[takes]),0)</f>
        <v>0.6</v>
      </c>
      <c r="P119" s="13">
        <f>IF(ParagonAbilities3Scenario5[[#This Row],[takes]]&gt;0,ParagonAbilities3Scenario5[[#This Row],[wins]]/ParagonAbilities3Scenario5[[#This Row],[takes]],0)</f>
        <v>0.83333333333333337</v>
      </c>
      <c r="Q119" s="20"/>
      <c r="R119" s="20"/>
      <c r="S119" s="20"/>
      <c r="T119" s="20"/>
      <c r="U119" s="22"/>
    </row>
    <row r="120" spans="12:21" x14ac:dyDescent="0.4">
      <c r="L120" s="27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4</v>
      </c>
      <c r="N120" s="1">
        <f>COUNTIF(Scenario5[winner1-ability3],ParagonAbilities3Scenario5[[#This Row],[ability]])+COUNTIF(Scenario5[winner2-ability3],ParagonAbilities3Scenario5[[#This Row],[ability]])</f>
        <v>3</v>
      </c>
      <c r="O120" s="16">
        <f>IF(SUM(ParagonAbilities3Scenario5[[#This Row],[takes]]) &gt; 0,ParagonAbilities3Scenario5[[#This Row],[takes]]/SUM(ParagonAbilities3Scenario5[takes]),0)</f>
        <v>0.4</v>
      </c>
      <c r="P120" s="16">
        <f>IF(ParagonAbilities3Scenario5[[#This Row],[takes]]&gt;0,ParagonAbilities3Scenario5[[#This Row],[wins]]/ParagonAbilities3Scenario5[[#This Row],[takes]],0)</f>
        <v>0.75</v>
      </c>
      <c r="Q120" s="20"/>
      <c r="R120" s="20"/>
      <c r="S120" s="20"/>
      <c r="T120" s="20"/>
      <c r="U120" s="22"/>
    </row>
    <row r="121" spans="12:21" x14ac:dyDescent="0.4">
      <c r="L121" s="19"/>
      <c r="M121" s="20"/>
      <c r="N121" s="20"/>
      <c r="O121" s="21"/>
      <c r="P121" s="21"/>
      <c r="Q121" s="20"/>
      <c r="R121" s="20"/>
      <c r="S121" s="20"/>
      <c r="T121" s="20"/>
      <c r="U121" s="22"/>
    </row>
    <row r="122" spans="12:21" x14ac:dyDescent="0.4">
      <c r="L122" s="23" t="s">
        <v>109</v>
      </c>
      <c r="M122" s="9" t="s">
        <v>110</v>
      </c>
      <c r="N122" s="9" t="s">
        <v>79</v>
      </c>
      <c r="O122" s="10" t="s">
        <v>117</v>
      </c>
      <c r="P122" s="10" t="s">
        <v>118</v>
      </c>
      <c r="Q122" s="20"/>
      <c r="R122" s="20"/>
      <c r="S122" s="20"/>
      <c r="T122" s="20"/>
      <c r="U122" s="22"/>
    </row>
    <row r="123" spans="12:21" x14ac:dyDescent="0.4">
      <c r="L123" s="24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</v>
      </c>
      <c r="N123" s="2">
        <f>COUNTIF(Scenario5[winner1-ability4],ParagonAbilities4Scenario5[[#This Row],[ability]])+COUNTIF(Scenario5[winner2-ability4],ParagonAbilities4Scenario5[[#This Row],[ability]])</f>
        <v>2</v>
      </c>
      <c r="O123" s="13">
        <f>IF(SUM(ParagonAbilities4Scenario5[[#This Row],[takes]]) &gt; 0,ParagonAbilities4Scenario5[[#This Row],[takes]]/SUM(ParagonAbilities4Scenario5[takes]),0)</f>
        <v>0.4</v>
      </c>
      <c r="P123" s="13">
        <f>IF(ParagonAbilities4Scenario5[[#This Row],[takes]]&gt;0,ParagonAbilities4Scenario5[[#This Row],[wins]]/ParagonAbilities4Scenario5[[#This Row],[takes]],0)</f>
        <v>1</v>
      </c>
      <c r="Q123" s="20"/>
      <c r="R123" s="20"/>
      <c r="S123" s="20"/>
      <c r="T123" s="20"/>
      <c r="U123" s="22"/>
    </row>
    <row r="124" spans="12:21" x14ac:dyDescent="0.4">
      <c r="L124" s="24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0</v>
      </c>
      <c r="N124" s="2">
        <f>COUNTIF(Scenario5[winner1-ability4],ParagonAbilities4Scenario5[[#This Row],[ability]])+COUNTIF(Scenario5[winner2-ability4],ParagonAbilities4Scenario5[[#This Row],[ability]])</f>
        <v>0</v>
      </c>
      <c r="O124" s="13">
        <f>IF(SUM(ParagonAbilities4Scenario5[[#This Row],[takes]]) &gt; 0,ParagonAbilities4Scenario5[[#This Row],[takes]]/SUM(ParagonAbilities4Scenario5[takes]),0)</f>
        <v>0</v>
      </c>
      <c r="P124" s="13">
        <f>IF(ParagonAbilities4Scenario5[[#This Row],[takes]]&gt;0,ParagonAbilities4Scenario5[[#This Row],[wins]]/ParagonAbilities4Scenario5[[#This Row],[takes]],0)</f>
        <v>0</v>
      </c>
      <c r="Q124" s="20"/>
      <c r="R124" s="20"/>
      <c r="S124" s="20"/>
      <c r="T124" s="20"/>
      <c r="U124" s="22"/>
    </row>
    <row r="125" spans="12:21" ht="15" thickBot="1" x14ac:dyDescent="0.45">
      <c r="L125" s="28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3</v>
      </c>
      <c r="N125" s="2">
        <f>COUNTIF(Scenario5[winner1-ability4],ParagonAbilities4Scenario5[[#This Row],[ability]])+COUNTIF(Scenario5[winner2-ability4],ParagonAbilities4Scenario5[[#This Row],[ability]])</f>
        <v>2</v>
      </c>
      <c r="O125" s="30">
        <f>IF(SUM(ParagonAbilities4Scenario5[[#This Row],[takes]]) &gt; 0,ParagonAbilities4Scenario5[[#This Row],[takes]]/SUM(ParagonAbilities4Scenario5[takes]),0)</f>
        <v>0.6</v>
      </c>
      <c r="P125" s="30">
        <f>IF(ParagonAbilities4Scenario5[[#This Row],[takes]]&gt;0,ParagonAbilities4Scenario5[[#This Row],[wins]]/ParagonAbilities4Scenario5[[#This Row],[takes]],0)</f>
        <v>0.66666666666666663</v>
      </c>
      <c r="Q125" s="31"/>
      <c r="R125" s="31"/>
      <c r="S125" s="31"/>
      <c r="T125" s="31"/>
      <c r="U125" s="32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H12" sqref="H12"/>
    </sheetView>
  </sheetViews>
  <sheetFormatPr defaultRowHeight="14.6" x14ac:dyDescent="0.4"/>
  <cols>
    <col min="1" max="1" width="16.8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8.15234375" bestFit="1" customWidth="1"/>
    <col min="9" max="9" width="11.84375" bestFit="1" customWidth="1"/>
    <col min="10" max="10" width="3.84375" customWidth="1"/>
    <col min="11" max="11" width="16.8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8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3"/>
      <c r="K1" s="41" t="s">
        <v>392</v>
      </c>
      <c r="L1" s="42"/>
      <c r="M1" s="42"/>
      <c r="N1" s="42"/>
      <c r="O1" s="42"/>
      <c r="P1" s="42"/>
      <c r="Q1" s="42"/>
      <c r="R1" s="42"/>
      <c r="S1" s="43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165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165</v>
      </c>
      <c r="S2" s="22" t="s">
        <v>164</v>
      </c>
      <c r="T2" s="20"/>
      <c r="U2" t="s">
        <v>402</v>
      </c>
      <c r="V2" s="3">
        <f>H4/SUM(HighlanderEquip[sword])</f>
        <v>0.21917808219178081</v>
      </c>
    </row>
    <row r="3" spans="1:22" x14ac:dyDescent="0.4">
      <c r="A3" t="s">
        <v>68</v>
      </c>
      <c r="B3" s="20">
        <f>L3+L24+L45+L66+L87+L108</f>
        <v>80</v>
      </c>
      <c r="C3" s="20">
        <f>M3+M24+M45+M66+M87+M108</f>
        <v>39</v>
      </c>
      <c r="D3" s="21">
        <f>IF(SUM(HighlanderAbilities1[[#This Row],[takes]]) &gt; 0,HighlanderAbilities1[[#This Row],[takes]]/SUM(HighlanderAbilities1[takes]),0)</f>
        <v>0.27397260273972601</v>
      </c>
      <c r="E3" s="21">
        <f>IF(HighlanderAbilities1[[#This Row],[takes]]&gt;0,HighlanderAbilities1[[#This Row],[wins]]/HighlanderAbilities1[[#This Row],[takes]],0)</f>
        <v>0.48749999999999999</v>
      </c>
      <c r="F3" s="20"/>
      <c r="G3" s="20">
        <v>1</v>
      </c>
      <c r="H3" s="20">
        <f>R3+R24+R45+R66+R87+R108</f>
        <v>163</v>
      </c>
      <c r="I3" s="22">
        <f>S3+S24+S45+S66+S87+S108</f>
        <v>169</v>
      </c>
      <c r="K3" s="19" t="s">
        <v>68</v>
      </c>
      <c r="L3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37</v>
      </c>
      <c r="M3" s="20">
        <f>COUNTIF(Scenario0[winner1-ability1],HighlanderAbilities1Scenario0[[#This Row],[ability]])+COUNTIF(Scenario0[winner2-ability1],HighlanderAbilities1Scenario0[[#This Row],[ability]])</f>
        <v>19</v>
      </c>
      <c r="N3" s="21">
        <f>IF(SUM(HighlanderAbilities1Scenario0[[#This Row],[takes]]) &gt; 0,HighlanderAbilities1Scenario0[[#This Row],[takes]]/SUM(HighlanderAbilities1Scenario0[takes]),0)</f>
        <v>0.35238095238095241</v>
      </c>
      <c r="O3" s="21">
        <f>IF(HighlanderAbilities1Scenario0[[#This Row],[takes]]&gt;0,HighlanderAbilities1Scenario0[[#This Row],[wins]]/HighlanderAbilities1Scenario0[[#This Row],[takes]],0)</f>
        <v>0.51351351351351349</v>
      </c>
      <c r="P3" s="20"/>
      <c r="Q3" s="20">
        <v>1</v>
      </c>
      <c r="R3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74</v>
      </c>
      <c r="S3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82</v>
      </c>
      <c r="T3" s="20"/>
      <c r="U3" t="s">
        <v>403</v>
      </c>
      <c r="V3" s="18">
        <f>H5/SUM(HighlanderEquip[sword])</f>
        <v>0.2226027397260274</v>
      </c>
    </row>
    <row r="4" spans="1:22" x14ac:dyDescent="0.4">
      <c r="A4" t="s">
        <v>120</v>
      </c>
      <c r="B4" s="20">
        <f t="shared" ref="B4:B5" si="0">L4+L25+L46+L67+L88+L109</f>
        <v>105</v>
      </c>
      <c r="C4" s="20">
        <f t="shared" ref="C4:C5" si="1">M4+M25+M46+M67+M88+M109</f>
        <v>46</v>
      </c>
      <c r="D4" s="21">
        <f>IF(SUM(HighlanderAbilities1[[#This Row],[takes]]) &gt; 0,HighlanderAbilities1[[#This Row],[takes]]/SUM(HighlanderAbilities1[takes]),0)</f>
        <v>0.3595890410958904</v>
      </c>
      <c r="E4" s="21">
        <f>IF(HighlanderAbilities1[[#This Row],[takes]]&gt;0,HighlanderAbilities1[[#This Row],[wins]]/HighlanderAbilities1[[#This Row],[takes]],0)</f>
        <v>0.43809523809523809</v>
      </c>
      <c r="F4" s="20"/>
      <c r="G4" s="20">
        <v>2</v>
      </c>
      <c r="H4" s="20">
        <f t="shared" ref="H4:H5" si="2">R4+R25+R46+R67+R88+R109</f>
        <v>64</v>
      </c>
      <c r="I4" s="22">
        <f t="shared" ref="I4:I5" si="3">S4+S25+S46+S67+S88+S109</f>
        <v>54</v>
      </c>
      <c r="K4" s="19" t="s">
        <v>120</v>
      </c>
      <c r="L4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10</v>
      </c>
      <c r="M4" s="20">
        <f>COUNTIF(Scenario0[winner1-ability1],HighlanderAbilities1Scenario0[[#This Row],[ability]])+COUNTIF(Scenario0[winner2-ability1],HighlanderAbilities1Scenario0[[#This Row],[ability]])</f>
        <v>6</v>
      </c>
      <c r="N4" s="21">
        <f>IF(SUM(HighlanderAbilities1Scenario0[[#This Row],[takes]]) &gt; 0,HighlanderAbilities1Scenario0[[#This Row],[takes]]/SUM(HighlanderAbilities1Scenario0[takes]),0)</f>
        <v>9.5238095238095233E-2</v>
      </c>
      <c r="O4" s="21">
        <f>IF(HighlanderAbilities1Scenario0[[#This Row],[takes]]&gt;0,HighlanderAbilities1Scenario0[[#This Row],[wins]]/HighlanderAbilities1Scenario0[[#This Row],[takes]],0)</f>
        <v>0.6</v>
      </c>
      <c r="P4" s="20"/>
      <c r="Q4" s="20">
        <v>2</v>
      </c>
      <c r="R4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24</v>
      </c>
      <c r="S4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18</v>
      </c>
      <c r="T4" s="20"/>
      <c r="U4" t="s">
        <v>179</v>
      </c>
      <c r="V4" s="3">
        <f>HighlanderEquip[[#This Row],[chestpiece]]/SUM(HighlanderEquip[chestpiece])</f>
        <v>0.18493150684931506</v>
      </c>
    </row>
    <row r="5" spans="1:22" x14ac:dyDescent="0.4">
      <c r="A5" t="s">
        <v>57</v>
      </c>
      <c r="B5" s="20">
        <f t="shared" si="0"/>
        <v>107</v>
      </c>
      <c r="C5" s="20">
        <f t="shared" si="1"/>
        <v>63</v>
      </c>
      <c r="D5" s="21">
        <f>IF(SUM(HighlanderAbilities1[[#This Row],[takes]]) &gt; 0,HighlanderAbilities1[[#This Row],[takes]]/SUM(HighlanderAbilities1[takes]),0)</f>
        <v>0.36643835616438358</v>
      </c>
      <c r="E5" s="21">
        <f>IF(HighlanderAbilities1[[#This Row],[takes]]&gt;0,HighlanderAbilities1[[#This Row],[wins]]/HighlanderAbilities1[[#This Row],[takes]],0)</f>
        <v>0.58878504672897192</v>
      </c>
      <c r="F5" s="20"/>
      <c r="G5" s="20">
        <v>3</v>
      </c>
      <c r="H5" s="20">
        <f t="shared" si="2"/>
        <v>65</v>
      </c>
      <c r="I5" s="22">
        <f t="shared" si="3"/>
        <v>69</v>
      </c>
      <c r="K5" s="19" t="s">
        <v>57</v>
      </c>
      <c r="L5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58</v>
      </c>
      <c r="M5" s="20">
        <f>COUNTIF(Scenario0[winner1-ability1],HighlanderAbilities1Scenario0[[#This Row],[ability]])+COUNTIF(Scenario0[winner2-ability1],HighlanderAbilities1Scenario0[[#This Row],[ability]])</f>
        <v>34</v>
      </c>
      <c r="N5" s="21">
        <f>IF(SUM(HighlanderAbilities1Scenario0[[#This Row],[takes]]) &gt; 0,HighlanderAbilities1Scenario0[[#This Row],[takes]]/SUM(HighlanderAbilities1Scenario0[takes]),0)</f>
        <v>0.55238095238095242</v>
      </c>
      <c r="O5" s="21">
        <f>IF(HighlanderAbilities1Scenario0[[#This Row],[takes]]&gt;0,HighlanderAbilities1Scenario0[[#This Row],[wins]]/HighlanderAbilities1Scenario0[[#This Row],[takes]],0)</f>
        <v>0.58620689655172409</v>
      </c>
      <c r="P5" s="20"/>
      <c r="Q5" s="20">
        <v>3</v>
      </c>
      <c r="R5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</v>
      </c>
      <c r="S5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5</v>
      </c>
      <c r="T5" s="20"/>
      <c r="U5" t="s">
        <v>180</v>
      </c>
      <c r="V5" s="18">
        <f>HighlanderEquip[[#This Row],[chestpiece]]/SUM(HighlanderEquip[chestpiece])</f>
        <v>0.2363013698630137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SUM(HighlanderAbilities2[takes])/SUM(HighlanderAbilities1[takes])</f>
        <v>0.57191780821917804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SUM(HighlanderAbilities3[takes])/SUM(HighlanderAbilities1[takes])</f>
        <v>0.33561643835616439</v>
      </c>
    </row>
    <row r="8" spans="1:22" x14ac:dyDescent="0.4">
      <c r="A8" s="2" t="s">
        <v>69</v>
      </c>
      <c r="B8" s="2">
        <f>L8+L29+L50+L71+L92+L113</f>
        <v>84</v>
      </c>
      <c r="C8" s="2">
        <f>M8+M29+M50+M71+M92+M113</f>
        <v>32</v>
      </c>
      <c r="D8" s="13">
        <f>IF(SUM(HighlanderAbilities2[[#This Row],[takes]]) &gt; 0,HighlanderAbilities2[[#This Row],[takes]]/SUM(HighlanderAbilities2[takes]),0)</f>
        <v>0.50299401197604787</v>
      </c>
      <c r="E8" s="13">
        <f>IF(HighlanderAbilities2[[#This Row],[takes]]&gt;0,HighlanderAbilities2[[#This Row],[wins]]/HighlanderAbilities2[[#This Row],[takes]],0)</f>
        <v>0.38095238095238093</v>
      </c>
      <c r="F8" s="20"/>
      <c r="G8" s="20"/>
      <c r="H8" s="20"/>
      <c r="I8" s="22"/>
      <c r="K8" s="24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10</v>
      </c>
      <c r="M8" s="2">
        <f>COUNTIF(Scenario0[winner1-ability2],HighlanderAbilities2Scenario0[[#This Row],[ability]])+COUNTIF(Scenario0[winner2-ability2],HighlanderAbilities2Scenario0[[#This Row],[ability]])</f>
        <v>6</v>
      </c>
      <c r="N8" s="13">
        <f>IF(SUM(HighlanderAbilities2Scenario0[[#This Row],[takes]]) &gt; 0,HighlanderAbilities2Scenario0[[#This Row],[takes]]/SUM(HighlanderAbilities2Scenario0[takes]),0)</f>
        <v>0.18518518518518517</v>
      </c>
      <c r="O8" s="13">
        <f>IF(HighlanderAbilities2Scenario0[[#This Row],[takes]]&gt;0,HighlanderAbilities2Scenario0[[#This Row],[wins]]/HighlanderAbilities2Scenario0[[#This Row],[takes]],0)</f>
        <v>0.6</v>
      </c>
      <c r="P8" s="20"/>
      <c r="Q8" s="20"/>
      <c r="R8" s="20"/>
      <c r="S8" s="22"/>
      <c r="T8" s="20"/>
      <c r="U8" t="s">
        <v>178</v>
      </c>
      <c r="V8" s="18">
        <f>SUM(HighlanderAbilities4[takes])/SUM(HighlanderAbilities1[takes])</f>
        <v>0.21917808219178081</v>
      </c>
    </row>
    <row r="9" spans="1:22" x14ac:dyDescent="0.4">
      <c r="A9" t="s">
        <v>121</v>
      </c>
      <c r="B9" s="2">
        <f t="shared" ref="B9:B10" si="4">L9+L30+L51+L72+L93+L114</f>
        <v>5</v>
      </c>
      <c r="C9" s="2">
        <f t="shared" ref="C9:C10" si="5">M9+M30+M51+M72+M93+M114</f>
        <v>5</v>
      </c>
      <c r="D9" s="21">
        <f>IF(SUM(HighlanderAbilities2[[#This Row],[takes]]) &gt; 0,HighlanderAbilities2[[#This Row],[takes]]/SUM(HighlanderAbilities2[takes]),0)</f>
        <v>2.9940119760479042E-2</v>
      </c>
      <c r="E9" s="21">
        <f>IF(HighlanderAbilities2[[#This Row],[takes]]&gt;0,HighlanderAbilities2[[#This Row],[wins]]/HighlanderAbilities2[[#This Row],[takes]],0)</f>
        <v>1</v>
      </c>
      <c r="F9" s="20"/>
      <c r="G9" s="20"/>
      <c r="H9" s="20"/>
      <c r="I9" s="22"/>
      <c r="K9" s="19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21">
        <f>IF(SUM(HighlanderAbilities2Scenario0[[#This Row],[takes]]) &gt; 0,HighlanderAbilities2Scenario0[[#This Row],[takes]]/SUM(HighlanderAbilities2Scenario0[takes]),0)</f>
        <v>0</v>
      </c>
      <c r="O9" s="21">
        <f>IF(HighlanderAbilities2Scenario0[[#This Row],[takes]]&gt;0,HighlanderAbilities2Scenario0[[#This Row],[wins]]/HighlanderAbilities2Scenario0[[#This Row],[takes]],0)</f>
        <v>0</v>
      </c>
      <c r="P9" s="20"/>
      <c r="Q9" s="20"/>
      <c r="R9" s="20"/>
      <c r="S9" s="22"/>
      <c r="T9" s="20"/>
      <c r="U9" t="s">
        <v>404</v>
      </c>
      <c r="V9" s="39">
        <f>(SUM(HighlanderAbilities2[takes])+SUM(HighlanderAbilities3[takes])+SUM(HighlanderAbilities4[takes])+SUM(H4:H5)+SUM(I4:I5))/SUM(HighlanderAbilities1[takes])</f>
        <v>1.9897260273972603</v>
      </c>
    </row>
    <row r="10" spans="1:22" x14ac:dyDescent="0.4">
      <c r="A10" s="11" t="s">
        <v>122</v>
      </c>
      <c r="B10" s="2">
        <f t="shared" si="4"/>
        <v>78</v>
      </c>
      <c r="C10" s="2">
        <f t="shared" si="5"/>
        <v>54</v>
      </c>
      <c r="D10" s="14">
        <f>IF(SUM(HighlanderAbilities2[[#This Row],[takes]]) &gt; 0,HighlanderAbilities2[[#This Row],[takes]]/SUM(HighlanderAbilities2[takes]),0)</f>
        <v>0.46706586826347307</v>
      </c>
      <c r="E10" s="14">
        <f>IF(HighlanderAbilities2[[#This Row],[takes]]&gt;0,HighlanderAbilities2[[#This Row],[wins]]/HighlanderAbilities2[[#This Row],[takes]],0)</f>
        <v>0.69230769230769229</v>
      </c>
      <c r="F10" s="20"/>
      <c r="G10" s="20"/>
      <c r="H10" s="20"/>
      <c r="I10" s="22"/>
      <c r="K10" s="25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44</v>
      </c>
      <c r="M10" s="2">
        <f>COUNTIF(Scenario0[winner1-ability2],HighlanderAbilities2Scenario0[[#This Row],[ability]])+COUNTIF(Scenario0[winner2-ability2],HighlanderAbilities2Scenario0[[#This Row],[ability]])</f>
        <v>32</v>
      </c>
      <c r="N10" s="14">
        <f>IF(SUM(HighlanderAbilities2Scenario0[[#This Row],[takes]]) &gt; 0,HighlanderAbilities2Scenario0[[#This Row],[takes]]/SUM(HighlanderAbilities2Scenario0[takes]),0)</f>
        <v>0.81481481481481477</v>
      </c>
      <c r="O10" s="14">
        <f>IF(HighlanderAbilities2Scenario0[[#This Row],[takes]]&gt;0,HighlanderAbilities2Scenario0[[#This Row],[wins]]/HighlanderAbilities2Scenario0[[#This Row],[takes]],0)</f>
        <v>0.72727272727272729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123</v>
      </c>
      <c r="B13" s="1">
        <f>L13+L34+L55+L76+L97+L118</f>
        <v>8</v>
      </c>
      <c r="C13" s="1">
        <f>M13+M34+M55+M76+M97+M118</f>
        <v>8</v>
      </c>
      <c r="D13" s="15">
        <f>IF(SUM(HighlanderAbilities3[[#This Row],[takes]]) &gt; 0,HighlanderAbilities3[[#This Row],[takes]]/SUM(HighlanderAbilities3[takes]),0)</f>
        <v>8.1632653061224483E-2</v>
      </c>
      <c r="E13" s="15">
        <f>IF(HighlanderAbilities3[[#This Row],[takes]]&gt;0,HighlanderAbilities3[[#This Row],[wins]]/HighlanderAbilities3[[#This Row],[takes]],0)</f>
        <v>1</v>
      </c>
      <c r="F13" s="20"/>
      <c r="G13" s="20"/>
      <c r="H13" s="20"/>
      <c r="I13" s="22"/>
      <c r="K13" s="26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3</v>
      </c>
      <c r="M13" s="1">
        <f>COUNTIF(Scenario0[winner1-ability3],HighlanderAbilities3Scenario0[[#This Row],[ability]])+COUNTIF(Scenario0[winner2-ability3],HighlanderAbilities3Scenario0[[#This Row],[ability]])</f>
        <v>3</v>
      </c>
      <c r="N13" s="15">
        <f>IF(SUM(HighlanderAbilities3Scenario0[[#This Row],[takes]]) &gt; 0,HighlanderAbilities3Scenario0[[#This Row],[takes]]/SUM(HighlanderAbilities3Scenario0[takes]),0)</f>
        <v>0.13636363636363635</v>
      </c>
      <c r="O13" s="15">
        <f>IF(HighlanderAbilities3Scenario0[[#This Row],[takes]]&gt;0,HighlanderAbilities3Scenario0[[#This Row],[wins]]/HighlanderAbilities3Scenario0[[#This Row],[takes]],0)</f>
        <v>1</v>
      </c>
      <c r="P13" s="20"/>
      <c r="Q13" s="20"/>
      <c r="R13" s="20"/>
      <c r="S13" s="22"/>
      <c r="T13" s="20"/>
    </row>
    <row r="14" spans="1:22" x14ac:dyDescent="0.4">
      <c r="A14" s="2" t="s">
        <v>87</v>
      </c>
      <c r="B14" s="2">
        <f t="shared" ref="B14:B15" si="6">L14+L35+L56+L77+L98+L119</f>
        <v>72</v>
      </c>
      <c r="C14" s="2">
        <f t="shared" ref="C14:C15" si="7">M14+M35+M56+M77+M98+M119</f>
        <v>26</v>
      </c>
      <c r="D14" s="13">
        <f>IF(SUM(HighlanderAbilities3[[#This Row],[takes]]) &gt; 0,HighlanderAbilities3[[#This Row],[takes]]/SUM(HighlanderAbilities3[takes]),0)</f>
        <v>0.73469387755102045</v>
      </c>
      <c r="E14" s="13">
        <f>IF(HighlanderAbilities3[[#This Row],[takes]]&gt;0,HighlanderAbilities3[[#This Row],[wins]]/HighlanderAbilities3[[#This Row],[takes]],0)</f>
        <v>0.3611111111111111</v>
      </c>
      <c r="F14" s="20"/>
      <c r="G14" s="20"/>
      <c r="H14" s="20"/>
      <c r="I14" s="22"/>
      <c r="K14" s="24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6</v>
      </c>
      <c r="M14" s="2">
        <f>COUNTIF(Scenario0[winner1-ability3],HighlanderAbilities3Scenario0[[#This Row],[ability]])+COUNTIF(Scenario0[winner2-ability3],HighlanderAbilities3Scenario0[[#This Row],[ability]])</f>
        <v>3</v>
      </c>
      <c r="N14" s="13">
        <f>IF(SUM(HighlanderAbilities3Scenario0[[#This Row],[takes]]) &gt; 0,HighlanderAbilities3Scenario0[[#This Row],[takes]]/SUM(HighlanderAbilities3Scenario0[takes]),0)</f>
        <v>0.27272727272727271</v>
      </c>
      <c r="O14" s="13">
        <f>IF(HighlanderAbilities3Scenario0[[#This Row],[takes]]&gt;0,HighlanderAbilities3Scenario0[[#This Row],[wins]]/HighlanderAbilities3Scenario0[[#This Row],[takes]],0)</f>
        <v>0.5</v>
      </c>
      <c r="P14" s="20"/>
      <c r="Q14" s="20"/>
      <c r="R14" s="20"/>
      <c r="S14" s="22"/>
      <c r="T14" s="20"/>
    </row>
    <row r="15" spans="1:22" x14ac:dyDescent="0.4">
      <c r="A15" s="12" t="s">
        <v>85</v>
      </c>
      <c r="B15" s="1">
        <f t="shared" si="6"/>
        <v>18</v>
      </c>
      <c r="C15" s="1">
        <f t="shared" si="7"/>
        <v>12</v>
      </c>
      <c r="D15" s="16">
        <f>IF(SUM(HighlanderAbilities3[[#This Row],[takes]]) &gt; 0,HighlanderAbilities3[[#This Row],[takes]]/SUM(HighlanderAbilities3[takes]),0)</f>
        <v>0.18367346938775511</v>
      </c>
      <c r="E15" s="16">
        <f>IF(HighlanderAbilities3[[#This Row],[takes]]&gt;0,HighlanderAbilities3[[#This Row],[wins]]/HighlanderAbilities3[[#This Row],[takes]],0)</f>
        <v>0.66666666666666663</v>
      </c>
      <c r="F15" s="20"/>
      <c r="G15" s="20"/>
      <c r="H15" s="20"/>
      <c r="I15" s="22"/>
      <c r="K15" s="27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13</v>
      </c>
      <c r="M15" s="1">
        <f>COUNTIF(Scenario0[winner1-ability3],HighlanderAbilities3Scenario0[[#This Row],[ability]])+COUNTIF(Scenario0[winner2-ability3],HighlanderAbilities3Scenario0[[#This Row],[ability]])</f>
        <v>9</v>
      </c>
      <c r="N15" s="16">
        <f>IF(SUM(HighlanderAbilities3Scenario0[[#This Row],[takes]]) &gt; 0,HighlanderAbilities3Scenario0[[#This Row],[takes]]/SUM(HighlanderAbilities3Scenario0[takes]),0)</f>
        <v>0.59090909090909094</v>
      </c>
      <c r="O15" s="16">
        <f>IF(HighlanderAbilities3Scenario0[[#This Row],[takes]]&gt;0,HighlanderAbilities3Scenario0[[#This Row],[wins]]/HighlanderAbilities3Scenario0[[#This Row],[takes]],0)</f>
        <v>0.69230769230769229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88</v>
      </c>
      <c r="B18" s="2">
        <f>L18+L39+L60+L81+L102+L123</f>
        <v>48</v>
      </c>
      <c r="C18" s="2">
        <f>M18+M39+M60+M81+M102+M123</f>
        <v>15</v>
      </c>
      <c r="D18" s="13">
        <f>IF(SUM(HighlanderAbilities4[[#This Row],[takes]]) &gt; 0,HighlanderAbilities4[[#This Row],[takes]]/SUM(HighlanderAbilities4[takes]),0)</f>
        <v>0.75</v>
      </c>
      <c r="E18" s="13">
        <f>IF(HighlanderAbilities4[[#This Row],[takes]]&gt;0,HighlanderAbilities4[[#This Row],[wins]]/HighlanderAbilities4[[#This Row],[takes]],0)</f>
        <v>0.3125</v>
      </c>
      <c r="F18" s="20"/>
      <c r="G18" s="20"/>
      <c r="H18" s="20"/>
      <c r="I18" s="22"/>
      <c r="K18" s="24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3">
        <f>IF(SUM(HighlanderAbilities4Scenario0[[#This Row],[takes]]) &gt; 0,HighlanderAbilities4Scenario0[[#This Row],[takes]]/SUM(HighlanderAbilities4Scenario0[takes]),0)</f>
        <v>0</v>
      </c>
      <c r="O18" s="13">
        <f>IF(HighlanderAbilities4Scenario0[[#This Row],[takes]]&gt;0,HighlanderAbilities4Scenario0[[#This Row],[wins]]/HighlanderAbilities4Scenario0[[#This Row],[takes]],0)</f>
        <v>0</v>
      </c>
      <c r="P18" s="20"/>
      <c r="Q18" s="20"/>
      <c r="R18" s="20"/>
      <c r="S18" s="22"/>
      <c r="T18" s="20"/>
    </row>
    <row r="19" spans="1:20" x14ac:dyDescent="0.4">
      <c r="A19" s="2" t="s">
        <v>124</v>
      </c>
      <c r="B19" s="2">
        <f t="shared" ref="B19:B20" si="8">L19+L40+L61+L82+L103+L124</f>
        <v>10</v>
      </c>
      <c r="C19" s="2">
        <f t="shared" ref="C19:C20" si="9">M19+M40+M61+M82+M103+M124</f>
        <v>3</v>
      </c>
      <c r="D19" s="13">
        <f>IF(SUM(HighlanderAbilities4[[#This Row],[takes]]) &gt; 0,HighlanderAbilities4[[#This Row],[takes]]/SUM(HighlanderAbilities4[takes]),0)</f>
        <v>0.15625</v>
      </c>
      <c r="E19" s="13">
        <f>IF(HighlanderAbilities4[[#This Row],[takes]]&gt;0,HighlanderAbilities4[[#This Row],[wins]]/HighlanderAbilities4[[#This Row],[takes]],0)</f>
        <v>0.3</v>
      </c>
      <c r="F19" s="20"/>
      <c r="G19" s="20"/>
      <c r="H19" s="20"/>
      <c r="I19" s="22"/>
      <c r="K19" s="24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3">
        <f>IF(SUM(HighlanderAbilities4Scenario0[[#This Row],[takes]]) &gt; 0,HighlanderAbilities4Scenario0[[#This Row],[takes]]/SUM(HighlanderAbilities4Scenario0[takes]),0)</f>
        <v>0.25</v>
      </c>
      <c r="O19" s="13">
        <f>IF(HighlanderAbilities4Scenario0[[#This Row],[takes]]&gt;0,HighlanderAbilities4Scenario0[[#This Row],[wins]]/HighlanderAbilities4Scenario0[[#This Row],[takes]],0)</f>
        <v>0</v>
      </c>
      <c r="P19" s="20"/>
      <c r="Q19" s="20"/>
      <c r="R19" s="20"/>
      <c r="S19" s="22"/>
      <c r="T19" s="20"/>
    </row>
    <row r="20" spans="1:20" ht="15" thickBot="1" x14ac:dyDescent="0.45">
      <c r="A20" s="11" t="s">
        <v>125</v>
      </c>
      <c r="B20" s="2">
        <f t="shared" si="8"/>
        <v>6</v>
      </c>
      <c r="C20" s="2">
        <f t="shared" si="9"/>
        <v>4</v>
      </c>
      <c r="D20" s="30">
        <f>IF(SUM(HighlanderAbilities4[[#This Row],[takes]]) &gt; 0,HighlanderAbilities4[[#This Row],[takes]]/SUM(HighlanderAbilities4[takes]),0)</f>
        <v>9.375E-2</v>
      </c>
      <c r="E20" s="30">
        <f>IF(HighlanderAbilities4[[#This Row],[takes]]&gt;0,HighlanderAbilities4[[#This Row],[wins]]/HighlanderAbilities4[[#This Row],[takes]],0)</f>
        <v>0.66666666666666663</v>
      </c>
      <c r="F20" s="31"/>
      <c r="G20" s="31"/>
      <c r="H20" s="31"/>
      <c r="I20" s="32"/>
      <c r="K20" s="28" t="s">
        <v>125</v>
      </c>
      <c r="L20" s="29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3</v>
      </c>
      <c r="M20" s="29">
        <f>COUNTIF(Scenario0[winner1-ability4],HighlanderAbilities4Scenario0[[#This Row],[ability]])+COUNTIF(Scenario0[winner2-ability4],HighlanderAbilities4Scenario0[[#This Row],[ability]])</f>
        <v>2</v>
      </c>
      <c r="N20" s="30">
        <f>IF(SUM(HighlanderAbilities4Scenario0[[#This Row],[takes]]) &gt; 0,HighlanderAbilities4Scenario0[[#This Row],[takes]]/SUM(HighlanderAbilities4Scenario0[takes]),0)</f>
        <v>0.75</v>
      </c>
      <c r="O20" s="30">
        <f>IF(HighlanderAbilities4Scenario0[[#This Row],[takes]]&gt;0,HighlanderAbilities4Scenario0[[#This Row],[wins]]/HighlanderAbilities4Scenario0[[#This Row],[takes]],0)</f>
        <v>0.66666666666666663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1" t="s">
        <v>393</v>
      </c>
      <c r="L22" s="42"/>
      <c r="M22" s="42"/>
      <c r="N22" s="42"/>
      <c r="O22" s="42"/>
      <c r="P22" s="42"/>
      <c r="Q22" s="42"/>
      <c r="R22" s="42"/>
      <c r="S22" s="43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165</v>
      </c>
      <c r="S23" s="22" t="s">
        <v>164</v>
      </c>
      <c r="T23" s="20"/>
    </row>
    <row r="24" spans="1:20" x14ac:dyDescent="0.4">
      <c r="K24" s="19" t="s">
        <v>68</v>
      </c>
      <c r="L24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43</v>
      </c>
      <c r="M24" s="20">
        <f>COUNTIF(Scenario1[winner1-ability1],HighlanderAbilities1Scenario1[[#This Row],[ability]])+COUNTIF(Scenario1[winner2-ability1],HighlanderAbilities1Scenario1[[#This Row],[ability]])</f>
        <v>20</v>
      </c>
      <c r="N24" s="21">
        <f>IF(SUM(HighlanderAbilities1Scenario1[[#This Row],[takes]]) &gt; 0,HighlanderAbilities1Scenario1[[#This Row],[takes]]/SUM(HighlanderAbilities1Scenario1[takes]),0)</f>
        <v>0.40952380952380951</v>
      </c>
      <c r="O24" s="21">
        <f>IF(HighlanderAbilities1Scenario1[[#This Row],[takes]]&gt;0,HighlanderAbilities1Scenario1[[#This Row],[wins]]/HighlanderAbilities1Scenario1[[#This Row],[takes]],0)</f>
        <v>0.46511627906976744</v>
      </c>
      <c r="P24" s="20"/>
      <c r="Q24" s="20">
        <v>1</v>
      </c>
      <c r="R24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76</v>
      </c>
      <c r="S24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75</v>
      </c>
      <c r="T24" s="20"/>
    </row>
    <row r="25" spans="1:20" x14ac:dyDescent="0.4">
      <c r="K25" s="19" t="s">
        <v>120</v>
      </c>
      <c r="L25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17</v>
      </c>
      <c r="M25" s="20">
        <f>COUNTIF(Scenario1[winner1-ability1],HighlanderAbilities1Scenario1[[#This Row],[ability]])+COUNTIF(Scenario1[winner2-ability1],HighlanderAbilities1Scenario1[[#This Row],[ability]])</f>
        <v>11</v>
      </c>
      <c r="N25" s="21">
        <f>IF(SUM(HighlanderAbilities1Scenario1[[#This Row],[takes]]) &gt; 0,HighlanderAbilities1Scenario1[[#This Row],[takes]]/SUM(HighlanderAbilities1Scenario1[takes]),0)</f>
        <v>0.16190476190476191</v>
      </c>
      <c r="O25" s="21">
        <f>IF(HighlanderAbilities1Scenario1[[#This Row],[takes]]&gt;0,HighlanderAbilities1Scenario1[[#This Row],[wins]]/HighlanderAbilities1Scenario1[[#This Row],[takes]],0)</f>
        <v>0.6470588235294118</v>
      </c>
      <c r="P25" s="20"/>
      <c r="Q25" s="20">
        <v>2</v>
      </c>
      <c r="R25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21</v>
      </c>
      <c r="S25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22</v>
      </c>
      <c r="T25" s="20"/>
    </row>
    <row r="26" spans="1:20" x14ac:dyDescent="0.4">
      <c r="K26" s="19" t="s">
        <v>57</v>
      </c>
      <c r="L26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45</v>
      </c>
      <c r="M26" s="20">
        <f>COUNTIF(Scenario1[winner1-ability1],HighlanderAbilities1Scenario1[[#This Row],[ability]])+COUNTIF(Scenario1[winner2-ability1],HighlanderAbilities1Scenario1[[#This Row],[ability]])</f>
        <v>27</v>
      </c>
      <c r="N26" s="21">
        <f>IF(SUM(HighlanderAbilities1Scenario1[[#This Row],[takes]]) &gt; 0,HighlanderAbilities1Scenario1[[#This Row],[takes]]/SUM(HighlanderAbilities1Scenario1[takes]),0)</f>
        <v>0.42857142857142855</v>
      </c>
      <c r="O26" s="21">
        <f>IF(HighlanderAbilities1Scenario1[[#This Row],[takes]]&gt;0,HighlanderAbilities1Scenario1[[#This Row],[wins]]/HighlanderAbilities1Scenario1[[#This Row],[takes]],0)</f>
        <v>0.6</v>
      </c>
      <c r="P26" s="20"/>
      <c r="Q26" s="20">
        <v>3</v>
      </c>
      <c r="R26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8</v>
      </c>
      <c r="S26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8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4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6</v>
      </c>
      <c r="M29" s="2">
        <f>COUNTIF(Scenario1[winner1-ability2],HighlanderAbilities2Scenario1[[#This Row],[ability]])+COUNTIF(Scenario1[winner2-ability2],HighlanderAbilities2Scenario1[[#This Row],[ability]])</f>
        <v>3</v>
      </c>
      <c r="N29" s="13">
        <f>IF(SUM(HighlanderAbilities2Scenario1[[#This Row],[takes]]) &gt; 0,HighlanderAbilities2Scenario1[[#This Row],[takes]]/SUM(HighlanderAbilities2Scenario1[takes]),0)</f>
        <v>0.17142857142857143</v>
      </c>
      <c r="O29" s="13">
        <f>IF(HighlanderAbilities2Scenario1[[#This Row],[takes]]&gt;0,HighlanderAbilities2Scenario1[[#This Row],[wins]]/HighlanderAbilities2Scenario1[[#This Row],[takes]],0)</f>
        <v>0.5</v>
      </c>
      <c r="P29" s="20"/>
      <c r="Q29" s="20"/>
      <c r="R29" s="20"/>
      <c r="S29" s="22"/>
      <c r="T29" s="20"/>
    </row>
    <row r="30" spans="1:20" x14ac:dyDescent="0.4">
      <c r="K30" s="19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</v>
      </c>
      <c r="M30" s="2">
        <f>COUNTIF(Scenario1[winner1-ability2],HighlanderAbilities2Scenario1[[#This Row],[ability]])+COUNTIF(Scenario1[winner2-ability2],HighlanderAbilities2Scenario1[[#This Row],[ability]])</f>
        <v>1</v>
      </c>
      <c r="N30" s="21">
        <f>IF(SUM(HighlanderAbilities2Scenario1[[#This Row],[takes]]) &gt; 0,HighlanderAbilities2Scenario1[[#This Row],[takes]]/SUM(HighlanderAbilities2Scenario1[takes]),0)</f>
        <v>2.8571428571428571E-2</v>
      </c>
      <c r="O30" s="21">
        <f>IF(HighlanderAbilities2Scenario1[[#This Row],[takes]]&gt;0,HighlanderAbilities2Scenario1[[#This Row],[wins]]/HighlanderAbilities2Scenario1[[#This Row],[takes]],0)</f>
        <v>1</v>
      </c>
      <c r="P30" s="20"/>
      <c r="Q30" s="20"/>
      <c r="R30" s="20"/>
      <c r="S30" s="22"/>
      <c r="T30" s="20"/>
    </row>
    <row r="31" spans="1:20" x14ac:dyDescent="0.4">
      <c r="K31" s="25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28</v>
      </c>
      <c r="M31" s="2">
        <f>COUNTIF(Scenario1[winner1-ability2],HighlanderAbilities2Scenario1[[#This Row],[ability]])+COUNTIF(Scenario1[winner2-ability2],HighlanderAbilities2Scenario1[[#This Row],[ability]])</f>
        <v>19</v>
      </c>
      <c r="N31" s="14">
        <f>IF(SUM(HighlanderAbilities2Scenario1[[#This Row],[takes]]) &gt; 0,HighlanderAbilities2Scenario1[[#This Row],[takes]]/SUM(HighlanderAbilities2Scenario1[takes]),0)</f>
        <v>0.8</v>
      </c>
      <c r="O31" s="14">
        <f>IF(HighlanderAbilities2Scenario1[[#This Row],[takes]]&gt;0,HighlanderAbilities2Scenario1[[#This Row],[wins]]/HighlanderAbilities2Scenario1[[#This Row],[takes]],0)</f>
        <v>0.6785714285714286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26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</v>
      </c>
      <c r="M34" s="1">
        <f>COUNTIF(Scenario1[winner1-ability3],HighlanderAbilities3Scenario1[[#This Row],[ability]])+COUNTIF(Scenario1[winner2-ability3],HighlanderAbilities3Scenario1[[#This Row],[ability]])</f>
        <v>1</v>
      </c>
      <c r="N34" s="15">
        <f>IF(SUM(HighlanderAbilities3Scenario1[[#This Row],[takes]]) &gt; 0,HighlanderAbilities3Scenario1[[#This Row],[takes]]/SUM(HighlanderAbilities3Scenario1[takes]),0)</f>
        <v>0.16666666666666666</v>
      </c>
      <c r="O34" s="15">
        <f>IF(HighlanderAbilities3Scenario1[[#This Row],[takes]]&gt;0,HighlanderAbilities3Scenario1[[#This Row],[wins]]/HighlanderAbilities3Scenario1[[#This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4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3">
        <f>IF(SUM(HighlanderAbilities3Scenario1[[#This Row],[takes]]) &gt; 0,HighlanderAbilities3Scenario1[[#This Row],[takes]]/SUM(HighlanderAbilities3Scenario1[takes]),0)</f>
        <v>0</v>
      </c>
      <c r="O35" s="13">
        <f>IF(HighlanderAbilities3Scenario1[[#This Row],[takes]]&gt;0,HighlanderAbilities3Scenario1[[#This Row],[wins]]/HighlanderAbilities3Scenario1[[#This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27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6" s="1">
        <f>COUNTIF(Scenario1[winner1-ability3],HighlanderAbilities3Scenario1[[#This Row],[ability]])+COUNTIF(Scenario1[winner2-ability3],HighlanderAbilities3Scenario1[[#This Row],[ability]])</f>
        <v>3</v>
      </c>
      <c r="N36" s="16">
        <f>IF(SUM(HighlanderAbilities3Scenario1[[#This Row],[takes]]) &gt; 0,HighlanderAbilities3Scenario1[[#This Row],[takes]]/SUM(HighlanderAbilities3Scenario1[takes]),0)</f>
        <v>0.83333333333333337</v>
      </c>
      <c r="O36" s="16">
        <f>IF(HighlanderAbilities3Scenario1[[#This Row],[takes]]&gt;0,HighlanderAbilities3Scenario1[[#This Row],[wins]]/HighlanderAbilities3Scenario1[[#This Row],[takes]],0)</f>
        <v>0.6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4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3">
        <f>IF(SUM(HighlanderAbilities4Scenario1[[#This Row],[takes]]) &gt; 0,HighlanderAbilities4Scenario1[[#This Row],[takes]]/SUM(HighlanderAbilities4Scenario1[takes]),0)</f>
        <v>0</v>
      </c>
      <c r="O39" s="13">
        <f>IF(HighlanderAbilities4Scenario1[[#This Row],[takes]]&gt;0,HighlanderAbilities4Scenario1[[#This Row],[wins]]/HighlanderAbilities4Scenario1[[#This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4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3">
        <f>IF(SUM(HighlanderAbilities4Scenario1[[#This Row],[takes]]) &gt; 0,HighlanderAbilities4Scenario1[[#This Row],[takes]]/SUM(HighlanderAbilities4Scenario1[takes]),0)</f>
        <v>1</v>
      </c>
      <c r="O40" s="13">
        <f>IF(HighlanderAbilities4Scenario1[[#This Row],[takes]]&gt;0,HighlanderAbilities4Scenario1[[#This Row],[wins]]/HighlanderAbilities4Scenario1[[#This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28" t="s">
        <v>125</v>
      </c>
      <c r="L41" s="29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9">
        <f>COUNTIF(Scenario1[winner1-ability4],HighlanderAbilities4Scenario1[[#This Row],[ability]])+COUNTIF(Scenario1[winner2-ability4],HighlanderAbilities4Scenario1[[#This Row],[ability]])</f>
        <v>0</v>
      </c>
      <c r="N41" s="30">
        <f>IF(SUM(HighlanderAbilities4Scenario1[[#This Row],[takes]]) &gt; 0,HighlanderAbilities4Scenario1[[#This Row],[takes]]/SUM(HighlanderAbilities4Scenario1[takes]),0)</f>
        <v>0</v>
      </c>
      <c r="O41" s="30">
        <f>IF(HighlanderAbilities4Scenario1[[#This Row],[takes]]&gt;0,HighlanderAbilities4Scenario1[[#This Row],[wins]]/HighlanderAbilities4Scenario1[[#This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1" t="s">
        <v>394</v>
      </c>
      <c r="L43" s="42"/>
      <c r="M43" s="42"/>
      <c r="N43" s="42"/>
      <c r="O43" s="42"/>
      <c r="P43" s="42"/>
      <c r="Q43" s="42"/>
      <c r="R43" s="42"/>
      <c r="S43" s="43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165</v>
      </c>
      <c r="S44" s="22" t="s">
        <v>164</v>
      </c>
    </row>
    <row r="45" spans="11:20" x14ac:dyDescent="0.4">
      <c r="K45" s="19" t="s">
        <v>68</v>
      </c>
      <c r="L45" s="20">
        <f>COUNTIF(Scenario2[winner1-ability1],HighlanderAbilities1Scenario2[[#This Row],[ability]])+COUNTIF(Scenario2[loser1-ability1],HighlanderAbilities1Scenario2[[#This Row],[ability]])</f>
        <v>0</v>
      </c>
      <c r="M45" s="20">
        <f>COUNTIF(Scenario2[winner1-ability1],HighlanderAbilities1Scenario2[[#This Row],[ability]])</f>
        <v>0</v>
      </c>
      <c r="N45" s="21">
        <f>IF(SUM(HighlanderAbilities1Scenario2[[#This Row],[takes]]) &gt; 0,HighlanderAbilities1Scenario2[[#This Row],[takes]]/SUM(HighlanderAbilities1Scenario2[takes]),0)</f>
        <v>0</v>
      </c>
      <c r="O45" s="21">
        <f>IF(HighlanderAbilities1Scenario2[[#This Row],[takes]]&gt;0,HighlanderAbilities1Scenario2[[#This Row],[wins]]/HighlanderAbilities1Scenario2[[#This Row],[takes]],0)</f>
        <v>0</v>
      </c>
      <c r="P45" s="20"/>
      <c r="Q45" s="20">
        <v>1</v>
      </c>
      <c r="R45" s="20">
        <f>COUNTIFS(Scenario2[winner1],"highlander",Scenario2[winner1-pw],HighlanderEquipScenario2[[#This Row],[level]])+COUNTIFS(Scenario2[loser1],"highlander",Scenario2[loser1-pw],HighlanderEquipScenario2[[#This Row],[level]])</f>
        <v>3</v>
      </c>
      <c r="S45" s="22">
        <f>COUNTIFS(Scenario2[winner1],"highlander",Scenario2[winner1-cp],HighlanderEquipScenario2[[#This Row],[level]])+COUNTIFS(Scenario2[loser1],"highlander",Scenario2[loser1-cp],HighlanderEquipScenario2[[#This Row],[level]])</f>
        <v>5</v>
      </c>
    </row>
    <row r="46" spans="11:20" x14ac:dyDescent="0.4">
      <c r="K46" s="19" t="s">
        <v>120</v>
      </c>
      <c r="L46" s="20">
        <f>COUNTIF(Scenario2[winner1-ability1],HighlanderAbilities1Scenario2[[#This Row],[ability]])+COUNTIF(Scenario2[loser1-ability1],HighlanderAbilities1Scenario2[[#This Row],[ability]])</f>
        <v>11</v>
      </c>
      <c r="M46" s="20">
        <f>COUNTIF(Scenario2[winner1-ability1],HighlanderAbilities1Scenario2[[#This Row],[ability]])</f>
        <v>3</v>
      </c>
      <c r="N46" s="21">
        <f>IF(SUM(HighlanderAbilities1Scenario2[[#This Row],[takes]]) &gt; 0,HighlanderAbilities1Scenario2[[#This Row],[takes]]/SUM(HighlanderAbilities1Scenario2[takes]),0)</f>
        <v>0.7857142857142857</v>
      </c>
      <c r="O46" s="21">
        <f>IF(HighlanderAbilities1Scenario2[[#This Row],[takes]]&gt;0,HighlanderAbilities1Scenario2[[#This Row],[wins]]/HighlanderAbilities1Scenario2[[#This Row],[takes]],0)</f>
        <v>0.27272727272727271</v>
      </c>
      <c r="P46" s="20"/>
      <c r="Q46" s="20">
        <v>2</v>
      </c>
      <c r="R46" s="20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22">
        <f>COUNTIFS(Scenario2[winner1],"highlander",Scenario2[winner1-cp],HighlanderEquipScenario2[[#This Row],[level]])+COUNTIFS(Scenario2[loser1],"highlander",Scenario2[loser1-cp],HighlanderEquipScenario2[[#This Row],[level]])</f>
        <v>4</v>
      </c>
    </row>
    <row r="47" spans="11:20" x14ac:dyDescent="0.4">
      <c r="K47" s="19" t="s">
        <v>57</v>
      </c>
      <c r="L47" s="20">
        <f>COUNTIF(Scenario2[winner1-ability1],HighlanderAbilities1Scenario2[[#This Row],[ability]])+COUNTIF(Scenario2[loser1-ability1],HighlanderAbilities1Scenario2[[#This Row],[ability]])</f>
        <v>3</v>
      </c>
      <c r="M47" s="20">
        <f>COUNTIF(Scenario2[winner1-ability1],HighlanderAbilities1Scenario2[[#This Row],[ability]])</f>
        <v>2</v>
      </c>
      <c r="N47" s="21">
        <f>IF(SUM(HighlanderAbilities1Scenario2[[#This Row],[takes]]) &gt; 0,HighlanderAbilities1Scenario2[[#This Row],[takes]]/SUM(HighlanderAbilities1Scenario2[takes]),0)</f>
        <v>0.21428571428571427</v>
      </c>
      <c r="O47" s="21">
        <f>IF(HighlanderAbilities1Scenario2[[#This Row],[takes]]&gt;0,HighlanderAbilities1Scenario2[[#This Row],[wins]]/HighlanderAbilities1Scenario2[[#This Row],[takes]],0)</f>
        <v>0.66666666666666663</v>
      </c>
      <c r="P47" s="20"/>
      <c r="Q47" s="20">
        <v>3</v>
      </c>
      <c r="R47" s="20">
        <f>COUNTIFS(Scenario2[winner1],"highlander",Scenario2[winner1-pw],HighlanderEquipScenario2[[#This Row],[level]])+COUNTIFS(Scenario2[loser1],"highlander",Scenario2[loser1-pw],HighlanderEquipScenario2[[#This Row],[level]])</f>
        <v>6</v>
      </c>
      <c r="S47" s="22">
        <f>COUNTIFS(Scenario2[winner1],"highlander",Scenario2[winner1-cp],HighlanderEquipScenario2[[#This Row],[level]])+COUNTIFS(Scenario2[loser1],"highlander",Scenario2[loser1-cp],HighlanderEquipScenario2[[#This Row],[level]])</f>
        <v>5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4" t="s">
        <v>69</v>
      </c>
      <c r="L50" s="2">
        <f>COUNTIF(Scenario2[winner1-ability2],HighlanderAbilities2Scenario2[[#This Row],[ability]])+COUNTIF(Scenario2[loser1-ability2],HighlanderAbilities2Scenario2[[#This Row],[ability]])</f>
        <v>6</v>
      </c>
      <c r="M50" s="2">
        <f>COUNTIF(Scenario2[winner1-ability2],HighlanderAbilities2Scenario2[[#This Row],[ability]])</f>
        <v>1</v>
      </c>
      <c r="N50" s="13">
        <f>IF(SUM(HighlanderAbilities2Scenario2[[#This Row],[takes]]) &gt; 0,HighlanderAbilities2Scenario2[[#This Row],[takes]]/SUM(HighlanderAbilities2Scenario2[takes]),0)</f>
        <v>0.54545454545454541</v>
      </c>
      <c r="O50" s="13">
        <f>IF(HighlanderAbilities2Scenario2[[#This Row],[takes]]&gt;0,HighlanderAbilities2Scenario2[[#This Row],[wins]]/HighlanderAbilities2Scenario2[[#This Row],[takes]],0)</f>
        <v>0.16666666666666666</v>
      </c>
      <c r="P50" s="20"/>
      <c r="Q50" s="20"/>
      <c r="R50" s="20"/>
      <c r="S50" s="22"/>
      <c r="T50" s="20"/>
    </row>
    <row r="51" spans="11:20" x14ac:dyDescent="0.4">
      <c r="K51" s="19" t="s">
        <v>121</v>
      </c>
      <c r="L51" s="2">
        <f>COUNTIF(Scenario2[winner1-ability2],HighlanderAbilities2Scenario2[[#This Row],[ability]])+COUNTIF(Scenario2[loser1-ability2],HighlanderAbilities2Scenario2[[#This Row],[ability]])</f>
        <v>1</v>
      </c>
      <c r="M51" s="2">
        <f>COUNTIF(Scenario2[winner1-ability2],HighlanderAbilities2Scenario2[[#This Row],[ability]])</f>
        <v>1</v>
      </c>
      <c r="N51" s="21">
        <f>IF(SUM(HighlanderAbilities2Scenario2[[#This Row],[takes]]) &gt; 0,HighlanderAbilities2Scenario2[[#This Row],[takes]]/SUM(HighlanderAbilities2Scenario2[takes]),0)</f>
        <v>9.0909090909090912E-2</v>
      </c>
      <c r="O51" s="21">
        <f>IF(HighlanderAbilities2Scenario2[[#This Row],[takes]]&gt;0,HighlanderAbilities2Scenario2[[#This Row],[wins]]/HighlanderAbilities2Scenario2[[#This Row],[takes]],0)</f>
        <v>1</v>
      </c>
      <c r="P51" s="20"/>
      <c r="Q51" s="20"/>
      <c r="R51" s="20"/>
      <c r="S51" s="22"/>
      <c r="T51" s="20"/>
    </row>
    <row r="52" spans="11:20" x14ac:dyDescent="0.4">
      <c r="K52" s="25" t="s">
        <v>122</v>
      </c>
      <c r="L52" s="2">
        <f>COUNTIF(Scenario2[winner1-ability2],HighlanderAbilities2Scenario2[[#This Row],[ability]])+COUNTIF(Scenario2[loser1-ability2],HighlanderAbilities2Scenario2[[#This Row],[ability]])</f>
        <v>4</v>
      </c>
      <c r="M52" s="2">
        <f>COUNTIF(Scenario2[winner1-ability2],HighlanderAbilities2Scenario2[[#This Row],[ability]])</f>
        <v>2</v>
      </c>
      <c r="N52" s="14">
        <f>IF(SUM(HighlanderAbilities2Scenario2[[#This Row],[takes]]) &gt; 0,HighlanderAbilities2Scenario2[[#This Row],[takes]]/SUM(HighlanderAbilities2Scenario2[takes]),0)</f>
        <v>0.36363636363636365</v>
      </c>
      <c r="O52" s="14">
        <f>IF(HighlanderAbilities2Scenario2[[#This Row],[takes]]&gt;0,HighlanderAbilities2Scenario2[[#This Row],[wins]]/HighlanderAbilities2Scenario2[[#This Row],[takes]],0)</f>
        <v>0.5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26" t="s">
        <v>123</v>
      </c>
      <c r="L55" s="1">
        <f>COUNTIF(Scenario2[winner1-ability3],HighlanderAbilities3Scenario2[[#This Row],[ability]])+COUNTIF(Scenario2[loser1-ability3],HighlanderAbilities3Scenario2[[#This Row],[ability]])</f>
        <v>0</v>
      </c>
      <c r="M55" s="1">
        <f>COUNTIF(Scenario2[winner1-ability3],HighlanderAbilities3Scenario2[[#This Row],[ability]])</f>
        <v>0</v>
      </c>
      <c r="N55" s="15">
        <f>IF(SUM(HighlanderAbilities3Scenario2[[#This Row],[takes]]) &gt; 0,HighlanderAbilities3Scenario2[[#This Row],[takes]]/SUM(HighlanderAbilities3Scenario2[takes]),0)</f>
        <v>0</v>
      </c>
      <c r="O55" s="15">
        <f>IF(HighlanderAbilities3Scenario2[[#This Row],[takes]]&gt;0,HighlanderAbilities3Scenario2[[#This Row],[wins]]/HighlanderAbilities3Scenario2[[#This Row],[takes]],0)</f>
        <v>0</v>
      </c>
      <c r="P55" s="20"/>
      <c r="Q55" s="20"/>
      <c r="R55" s="20"/>
      <c r="S55" s="22"/>
      <c r="T55" s="20"/>
    </row>
    <row r="56" spans="11:20" x14ac:dyDescent="0.4">
      <c r="K56" s="24" t="s">
        <v>87</v>
      </c>
      <c r="L56" s="2">
        <f>COUNTIF(Scenario2[winner1-ability3],HighlanderAbilities3Scenario2[[#This Row],[ability]])+COUNTIF(Scenario2[loser1-ability3],HighlanderAbilities3Scenario2[[#This Row],[ability]])</f>
        <v>6</v>
      </c>
      <c r="M56" s="2">
        <f>COUNTIF(Scenario2[winner1-ability3],HighlanderAbilities3Scenario2[[#This Row],[ability]])</f>
        <v>2</v>
      </c>
      <c r="N56" s="13">
        <f>IF(SUM(HighlanderAbilities3Scenario2[[#This Row],[takes]]) &gt; 0,HighlanderAbilities3Scenario2[[#This Row],[takes]]/SUM(HighlanderAbilities3Scenario2[takes]),0)</f>
        <v>1</v>
      </c>
      <c r="O56" s="13">
        <f>IF(HighlanderAbilities3Scenario2[[#This Row],[takes]]&gt;0,HighlanderAbilities3Scenario2[[#This Row],[wins]]/HighlanderAbilities3Scenario2[[#This Row],[takes]],0)</f>
        <v>0.33333333333333331</v>
      </c>
      <c r="P56" s="20"/>
      <c r="Q56" s="20"/>
      <c r="R56" s="20"/>
      <c r="S56" s="22"/>
      <c r="T56" s="20"/>
    </row>
    <row r="57" spans="11:20" x14ac:dyDescent="0.4">
      <c r="K57" s="27" t="s">
        <v>85</v>
      </c>
      <c r="L57" s="1">
        <f>COUNTIF(Scenario2[winner1-ability3],HighlanderAbilities3Scenario2[[#This Row],[ability]])+COUNTIF(Scenario2[loser1-ability3],HighlanderAbilities3Scenario2[[#This Row],[ability]])</f>
        <v>0</v>
      </c>
      <c r="M57" s="1">
        <f>COUNTIF(Scenario2[winner1-ability3],HighlanderAbilities3Scenario2[[#This Row],[ability]])</f>
        <v>0</v>
      </c>
      <c r="N57" s="16">
        <f>IF(SUM(HighlanderAbilities3Scenario2[[#This Row],[takes]]) &gt; 0,HighlanderAbilities3Scenario2[[#This Row],[takes]]/SUM(HighlanderAbilities3Scenario2[takes]),0)</f>
        <v>0</v>
      </c>
      <c r="O57" s="16">
        <f>IF(HighlanderAbilities3Scenario2[[#This Row],[takes]]&gt;0,HighlanderAbilities3Scenario2[[#This Row],[wins]]/HighlanderAbilities3Scenario2[[#This Row],[takes]],0)</f>
        <v>0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4" t="s">
        <v>88</v>
      </c>
      <c r="L60" s="2">
        <f>COUNTIF(Scenario2[winner1-ability4],HighlanderAbilities4Scenario2[[#This Row],[ability]])+COUNTIF(Scenario2[loser1-ability4],HighlanderAbilities4Scenario2[[#This Row],[ability]])</f>
        <v>2</v>
      </c>
      <c r="M60" s="2">
        <f>COUNTIF(Scenario2[winner1-ability4],HighlanderAbilities4Scenario2[[#This Row],[ability]])</f>
        <v>0</v>
      </c>
      <c r="N60" s="13">
        <f>IF(SUM(HighlanderAbilities4Scenario2[[#This Row],[takes]]) &gt; 0,HighlanderAbilities4Scenario2[[#This Row],[takes]]/SUM(HighlanderAbilities4Scenario2[takes]),0)</f>
        <v>0.4</v>
      </c>
      <c r="O60" s="13">
        <f>IF(HighlanderAbilities4Scenario2[[#This Row],[takes]]&gt;0,HighlanderAbilities4Scenario2[[#This Row],[wins]]/HighlanderAbilities4Scenario2[[#This Row],[takes]],0)</f>
        <v>0</v>
      </c>
      <c r="P60" s="20"/>
      <c r="Q60" s="20"/>
      <c r="R60" s="20"/>
      <c r="S60" s="22"/>
      <c r="T60" s="20"/>
    </row>
    <row r="61" spans="11:20" x14ac:dyDescent="0.4">
      <c r="K61" s="24" t="s">
        <v>124</v>
      </c>
      <c r="L61" s="2">
        <f>COUNTIF(Scenario2[winner1-ability4],HighlanderAbilities4Scenario2[[#This Row],[ability]])+COUNTIF(Scenario2[loser1-ability4],HighlanderAbilities4Scenario2[[#This Row],[ability]])</f>
        <v>1</v>
      </c>
      <c r="M61" s="2">
        <f>COUNTIF(Scenario2[winner1-ability4],HighlanderAbilities4Scenario2[[#This Row],[ability]])</f>
        <v>0</v>
      </c>
      <c r="N61" s="13">
        <f>IF(SUM(HighlanderAbilities4Scenario2[[#This Row],[takes]]) &gt; 0,HighlanderAbilities4Scenario2[[#This Row],[takes]]/SUM(HighlanderAbilities4Scenario2[takes]),0)</f>
        <v>0.2</v>
      </c>
      <c r="O61" s="13">
        <f>IF(HighlanderAbilities4Scenario2[[#This Row],[takes]]&gt;0,HighlanderAbilities4Scenario2[[#This Row],[wins]]/HighlanderAbilities4Scenario2[[#This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28" t="s">
        <v>125</v>
      </c>
      <c r="L62" s="29">
        <f>COUNTIF(Scenario2[winner1-ability4],HighlanderAbilities4Scenario2[[#This Row],[ability]])+COUNTIF(Scenario2[loser1-ability4],HighlanderAbilities4Scenario2[[#This Row],[ability]])</f>
        <v>2</v>
      </c>
      <c r="M62" s="29">
        <f>COUNTIF(Scenario2[winner1-ability4],HighlanderAbilities4Scenario2[[#This Row],[ability]])</f>
        <v>1</v>
      </c>
      <c r="N62" s="30">
        <f>IF(SUM(HighlanderAbilities4Scenario2[[#This Row],[takes]]) &gt; 0,HighlanderAbilities4Scenario2[[#This Row],[takes]]/SUM(HighlanderAbilities4Scenario2[takes]),0)</f>
        <v>0.4</v>
      </c>
      <c r="O62" s="30">
        <f>IF(HighlanderAbilities4Scenario2[[#This Row],[takes]]&gt;0,HighlanderAbilities4Scenario2[[#This Row],[wins]]/HighlanderAbilities4Scenario2[[#This Row],[takes]],0)</f>
        <v>0.5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1" t="s">
        <v>686</v>
      </c>
      <c r="L64" s="42"/>
      <c r="M64" s="42"/>
      <c r="N64" s="42"/>
      <c r="O64" s="42"/>
      <c r="P64" s="42"/>
      <c r="Q64" s="42"/>
      <c r="R64" s="42"/>
      <c r="S64" s="43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165</v>
      </c>
      <c r="S65" s="22" t="s">
        <v>164</v>
      </c>
    </row>
    <row r="66" spans="11:19" x14ac:dyDescent="0.4">
      <c r="K66" s="19" t="s">
        <v>68</v>
      </c>
      <c r="L66" s="20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6" s="20">
        <f>COUNTIF(Scenario3[winner1-ability1],HighlanderAbilities1Scenario3[[#This Row],[ability]])</f>
        <v>0</v>
      </c>
      <c r="N66" s="21">
        <f>IF(SUM(HighlanderAbilities1Scenario3[[#This Row],[takes]]) &gt; 0,HighlanderAbilities1Scenario3[[#This Row],[takes]]/SUM(HighlanderAbilities1Scenario3[takes]),0)</f>
        <v>0</v>
      </c>
      <c r="O66" s="21">
        <f>IF(HighlanderAbilities1Scenario3[[#This Row],[takes]]&gt;0,HighlanderAbilities1Scenario3[[#This Row],[wins]]/HighlanderAbilities1Scenario3[[#This Row],[takes]],0)</f>
        <v>0</v>
      </c>
      <c r="P66" s="20"/>
      <c r="Q66" s="20">
        <v>1</v>
      </c>
      <c r="R66" s="20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2</v>
      </c>
      <c r="S66" s="22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2</v>
      </c>
    </row>
    <row r="67" spans="11:19" x14ac:dyDescent="0.4">
      <c r="K67" s="19" t="s">
        <v>120</v>
      </c>
      <c r="L67" s="20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20</v>
      </c>
      <c r="M67" s="20">
        <f>COUNTIF(Scenario3[winner1-ability1],HighlanderAbilities1Scenario3[[#This Row],[ability]])</f>
        <v>7</v>
      </c>
      <c r="N67" s="21">
        <f>IF(SUM(HighlanderAbilities1Scenario3[[#This Row],[takes]]) &gt; 0,HighlanderAbilities1Scenario3[[#This Row],[takes]]/SUM(HighlanderAbilities1Scenario3[takes]),0)</f>
        <v>0.95238095238095233</v>
      </c>
      <c r="O67" s="21">
        <f>IF(HighlanderAbilities1Scenario3[[#This Row],[takes]]&gt;0,HighlanderAbilities1Scenario3[[#This Row],[wins]]/HighlanderAbilities1Scenario3[[#This Row],[takes]],0)</f>
        <v>0.35</v>
      </c>
      <c r="P67" s="20"/>
      <c r="Q67" s="20">
        <v>2</v>
      </c>
      <c r="R67" s="20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5</v>
      </c>
      <c r="S67" s="22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3</v>
      </c>
    </row>
    <row r="68" spans="11:19" x14ac:dyDescent="0.4">
      <c r="K68" s="19" t="s">
        <v>57</v>
      </c>
      <c r="L68" s="20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8" s="20">
        <f>COUNTIF(Scenario3[winner1-ability1],HighlanderAbilities1Scenario3[[#This Row],[ability]])</f>
        <v>0</v>
      </c>
      <c r="N68" s="21">
        <f>IF(SUM(HighlanderAbilities1Scenario3[[#This Row],[takes]]) &gt; 0,HighlanderAbilities1Scenario3[[#This Row],[takes]]/SUM(HighlanderAbilities1Scenario3[takes]),0)</f>
        <v>4.7619047619047616E-2</v>
      </c>
      <c r="O68" s="21">
        <f>IF(HighlanderAbilities1Scenario3[[#This Row],[takes]]&gt;0,HighlanderAbilities1Scenario3[[#This Row],[wins]]/HighlanderAbilities1Scenario3[[#This Row],[takes]],0)</f>
        <v>0</v>
      </c>
      <c r="P68" s="20"/>
      <c r="Q68" s="20">
        <v>3</v>
      </c>
      <c r="R68" s="20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14</v>
      </c>
      <c r="S68" s="22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16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4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20</v>
      </c>
      <c r="M71" s="2">
        <f>COUNTIF(Scenario3[winner1-ability2],HighlanderAbilities2Scenario3[[#This Row],[ability]])</f>
        <v>6</v>
      </c>
      <c r="N71" s="13">
        <f>IF(SUM(HighlanderAbilities2Scenario3[[#This Row],[takes]]) &gt; 0,HighlanderAbilities2Scenario3[[#This Row],[takes]]/SUM(HighlanderAbilities2Scenario3[takes]),0)</f>
        <v>0.95238095238095233</v>
      </c>
      <c r="O71" s="13">
        <f>IF(HighlanderAbilities2Scenario3[[#This Row],[takes]]&gt;0,HighlanderAbilities2Scenario3[[#This Row],[wins]]/HighlanderAbilities2Scenario3[[#This Row],[takes]],0)</f>
        <v>0.3</v>
      </c>
      <c r="P71" s="20"/>
      <c r="Q71" s="20"/>
      <c r="R71" s="20"/>
      <c r="S71" s="22"/>
    </row>
    <row r="72" spans="11:19" x14ac:dyDescent="0.4">
      <c r="K72" s="19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2" s="2">
        <f>COUNTIF(Scenario3[winner1-ability2],HighlanderAbilities2Scenario3[[#This Row],[ability]])</f>
        <v>1</v>
      </c>
      <c r="N72" s="21">
        <f>IF(SUM(HighlanderAbilities2Scenario3[[#This Row],[takes]]) &gt; 0,HighlanderAbilities2Scenario3[[#This Row],[takes]]/SUM(HighlanderAbilities2Scenario3[takes]),0)</f>
        <v>4.7619047619047616E-2</v>
      </c>
      <c r="O72" s="21">
        <f>IF(HighlanderAbilities2Scenario3[[#This Row],[takes]]&gt;0,HighlanderAbilities2Scenario3[[#This Row],[wins]]/HighlanderAbilities2Scenario3[[#This Row],[takes]],0)</f>
        <v>1</v>
      </c>
      <c r="P72" s="20"/>
      <c r="Q72" s="20"/>
      <c r="R72" s="20"/>
      <c r="S72" s="22"/>
    </row>
    <row r="73" spans="11:19" x14ac:dyDescent="0.4">
      <c r="K73" s="25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4">
        <f>IF(SUM(HighlanderAbilities2Scenario3[[#This Row],[takes]]) &gt; 0,HighlanderAbilities2Scenario3[[#This Row],[takes]]/SUM(HighlanderAbilities2Scenario3[takes]),0)</f>
        <v>0</v>
      </c>
      <c r="O73" s="14">
        <f>IF(HighlanderAbilities2Scenario3[[#This Row],[takes]]&gt;0,HighlanderAbilities2Scenario3[[#This Row],[wins]]/HighlanderAbilities2Scenario3[[#This Row],[takes]],0)</f>
        <v>0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26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6" s="1">
        <f>COUNTIF(Scenario3[winner1-ability3],HighlanderAbilities3Scenario3[[#This Row],[ability]])</f>
        <v>0</v>
      </c>
      <c r="N76" s="15">
        <f>IF(SUM(HighlanderAbilities3Scenario3[[#This Row],[takes]]) &gt; 0,HighlanderAbilities3Scenario3[[#This Row],[takes]]/SUM(HighlanderAbilities3Scenario3[takes]),0)</f>
        <v>0</v>
      </c>
      <c r="O76" s="15">
        <f>IF(HighlanderAbilities3Scenario3[[#This Row],[takes]]&gt;0,HighlanderAbilities3Scenario3[[#This Row],[wins]]/HighlanderAbilities3Scenario3[[#This Row],[takes]],0)</f>
        <v>0</v>
      </c>
      <c r="P76" s="20"/>
      <c r="Q76" s="20"/>
      <c r="R76" s="20"/>
      <c r="S76" s="22"/>
    </row>
    <row r="77" spans="11:19" x14ac:dyDescent="0.4">
      <c r="K77" s="24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20</v>
      </c>
      <c r="M77" s="2">
        <f>COUNTIF(Scenario3[winner1-ability3],HighlanderAbilities3Scenario3[[#This Row],[ability]])</f>
        <v>6</v>
      </c>
      <c r="N77" s="13">
        <f>IF(SUM(HighlanderAbilities3Scenario3[[#This Row],[takes]]) &gt; 0,HighlanderAbilities3Scenario3[[#This Row],[takes]]/SUM(HighlanderAbilities3Scenario3[takes]),0)</f>
        <v>1</v>
      </c>
      <c r="O77" s="13">
        <f>IF(HighlanderAbilities3Scenario3[[#This Row],[takes]]&gt;0,HighlanderAbilities3Scenario3[[#This Row],[wins]]/HighlanderAbilities3Scenario3[[#This Row],[takes]],0)</f>
        <v>0.3</v>
      </c>
      <c r="P77" s="20"/>
      <c r="Q77" s="20"/>
      <c r="R77" s="20"/>
      <c r="S77" s="22"/>
    </row>
    <row r="78" spans="11:19" x14ac:dyDescent="0.4">
      <c r="K78" s="27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6">
        <f>IF(SUM(HighlanderAbilities3Scenario3[[#This Row],[takes]]) &gt; 0,HighlanderAbilities3Scenario3[[#This Row],[takes]]/SUM(HighlanderAbilities3Scenario3[takes]),0)</f>
        <v>0</v>
      </c>
      <c r="O78" s="16">
        <f>IF(HighlanderAbilities3Scenario3[[#This Row],[takes]]&gt;0,HighlanderAbilities3Scenario3[[#This Row],[wins]]/HighlanderAbilities3Scenario3[[#This Row],[takes]],0)</f>
        <v>0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4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14</v>
      </c>
      <c r="M81" s="2">
        <f>COUNTIF(Scenario3[winner1-ability4],HighlanderAbilities4Scenario3[[#This Row],[ability]])</f>
        <v>4</v>
      </c>
      <c r="N81" s="13">
        <f>IF(SUM(HighlanderAbilities4Scenario3[[#This Row],[takes]]) &gt; 0,HighlanderAbilities4Scenario3[[#This Row],[takes]]/SUM(HighlanderAbilities4Scenario3[takes]),0)</f>
        <v>0.82352941176470584</v>
      </c>
      <c r="O81" s="13">
        <f>IF(HighlanderAbilities4Scenario3[[#This Row],[takes]]&gt;0,HighlanderAbilities4Scenario3[[#This Row],[wins]]/HighlanderAbilities4Scenario3[[#This Row],[takes]],0)</f>
        <v>0.2857142857142857</v>
      </c>
      <c r="P81" s="20"/>
      <c r="Q81" s="20"/>
      <c r="R81" s="20"/>
      <c r="S81" s="22"/>
    </row>
    <row r="82" spans="11:19" x14ac:dyDescent="0.4">
      <c r="K82" s="24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2" s="2">
        <f>COUNTIF(Scenario3[winner1-ability4],HighlanderAbilities4Scenario3[[#This Row],[ability]])</f>
        <v>1</v>
      </c>
      <c r="N82" s="13">
        <f>IF(SUM(HighlanderAbilities4Scenario3[[#This Row],[takes]]) &gt; 0,HighlanderAbilities4Scenario3[[#This Row],[takes]]/SUM(HighlanderAbilities4Scenario3[takes]),0)</f>
        <v>0.17647058823529413</v>
      </c>
      <c r="O82" s="13">
        <f>IF(HighlanderAbilities4Scenario3[[#This Row],[takes]]&gt;0,HighlanderAbilities4Scenario3[[#This Row],[wins]]/HighlanderAbilities4Scenario3[[#This Row],[takes]],0)</f>
        <v>0.33333333333333331</v>
      </c>
      <c r="P82" s="20"/>
      <c r="Q82" s="20"/>
      <c r="R82" s="20"/>
      <c r="S82" s="22"/>
    </row>
    <row r="83" spans="11:19" ht="15" thickBot="1" x14ac:dyDescent="0.45">
      <c r="K83" s="28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3" s="2">
        <f>COUNTIF(Scenario3[winner1-ability4],HighlanderAbilities4Scenario3[[#This Row],[ability]])</f>
        <v>0</v>
      </c>
      <c r="N83" s="30">
        <f>IF(SUM(HighlanderAbilities4Scenario3[[#This Row],[takes]]) &gt; 0,HighlanderAbilities4Scenario3[[#This Row],[takes]]/SUM(HighlanderAbilities4Scenario3[takes]),0)</f>
        <v>0</v>
      </c>
      <c r="O83" s="30">
        <f>IF(HighlanderAbilities4Scenario3[[#This Row],[takes]]&gt;0,HighlanderAbilities4Scenario3[[#This Row],[wins]]/HighlanderAbilities4Scenario3[[#This Row],[takes]],0)</f>
        <v>0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1" t="s">
        <v>752</v>
      </c>
      <c r="L85" s="42"/>
      <c r="M85" s="42"/>
      <c r="N85" s="42"/>
      <c r="O85" s="42"/>
      <c r="P85" s="42"/>
      <c r="Q85" s="42"/>
      <c r="R85" s="42"/>
      <c r="S85" s="43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165</v>
      </c>
      <c r="S86" s="22" t="s">
        <v>164</v>
      </c>
    </row>
    <row r="87" spans="11:19" x14ac:dyDescent="0.4">
      <c r="K87" s="19" t="s">
        <v>68</v>
      </c>
      <c r="L87" s="20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 s="20">
        <f>COUNTIF(Scenario4[winner1-ability1],HighlanderAbilities1Scenario4[[#This Row],[ability]])</f>
        <v>0</v>
      </c>
      <c r="N87" s="21">
        <f>IF(SUM(HighlanderAbilities1Scenario4[[#This Row],[takes]]) &gt; 0,HighlanderAbilities1Scenario4[[#This Row],[takes]]/SUM(HighlanderAbilities1Scenario4[takes]),0)</f>
        <v>0</v>
      </c>
      <c r="O87" s="21">
        <f>IF(HighlanderAbilities1Scenario4[[#This Row],[takes]]&gt;0,HighlanderAbilities1Scenario4[[#This Row],[wins]]/HighlanderAbilities1Scenario4[[#This Row],[takes]],0)</f>
        <v>0</v>
      </c>
      <c r="P87" s="20"/>
      <c r="Q87" s="20">
        <v>1</v>
      </c>
      <c r="R87" s="20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4</v>
      </c>
      <c r="S87" s="22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4">
      <c r="K88" s="19" t="s">
        <v>120</v>
      </c>
      <c r="L88" s="20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35</v>
      </c>
      <c r="M88" s="20">
        <f>COUNTIF(Scenario4[winner1-ability1],HighlanderAbilities1Scenario4[[#This Row],[ability]])</f>
        <v>11</v>
      </c>
      <c r="N88" s="21">
        <f>IF(SUM(HighlanderAbilities1Scenario4[[#This Row],[takes]]) &gt; 0,HighlanderAbilities1Scenario4[[#This Row],[takes]]/SUM(HighlanderAbilities1Scenario4[takes]),0)</f>
        <v>1</v>
      </c>
      <c r="O88" s="21">
        <f>IF(HighlanderAbilities1Scenario4[[#This Row],[takes]]&gt;0,HighlanderAbilities1Scenario4[[#This Row],[wins]]/HighlanderAbilities1Scenario4[[#This Row],[takes]],0)</f>
        <v>0.31428571428571428</v>
      </c>
      <c r="P88" s="20"/>
      <c r="Q88" s="20">
        <v>2</v>
      </c>
      <c r="R88" s="20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4</v>
      </c>
      <c r="S88" s="22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</v>
      </c>
    </row>
    <row r="89" spans="11:19" x14ac:dyDescent="0.4">
      <c r="K89" s="19" t="s">
        <v>57</v>
      </c>
      <c r="L89" s="20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 s="20">
        <f>COUNTIF(Scenario4[winner1-ability1],HighlanderAbilities1Scenario4[[#This Row],[ability]])</f>
        <v>0</v>
      </c>
      <c r="N89" s="21">
        <f>IF(SUM(HighlanderAbilities1Scenario4[[#This Row],[takes]]) &gt; 0,HighlanderAbilities1Scenario4[[#This Row],[takes]]/SUM(HighlanderAbilities1Scenario4[takes]),0)</f>
        <v>0</v>
      </c>
      <c r="O89" s="21">
        <f>IF(HighlanderAbilities1Scenario4[[#This Row],[takes]]&gt;0,HighlanderAbilities1Scenario4[[#This Row],[wins]]/HighlanderAbilities1Scenario4[[#This Row],[takes]],0)</f>
        <v>0</v>
      </c>
      <c r="P89" s="20"/>
      <c r="Q89" s="20">
        <v>3</v>
      </c>
      <c r="R89" s="20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27</v>
      </c>
      <c r="S89" s="22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32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4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35</v>
      </c>
      <c r="M92" s="2">
        <f>COUNTIF(Scenario4[winner1-ability2],HighlanderAbilities2Scenario4[[#This Row],[ability]])</f>
        <v>11</v>
      </c>
      <c r="N92" s="13">
        <f>IF(SUM(HighlanderAbilities2Scenario4[[#This Row],[takes]]) &gt; 0,HighlanderAbilities2Scenario4[[#This Row],[takes]]/SUM(HighlanderAbilities2Scenario4[takes]),0)</f>
        <v>1</v>
      </c>
      <c r="O92" s="13">
        <f>IF(HighlanderAbilities2Scenario4[[#This Row],[takes]]&gt;0,HighlanderAbilities2Scenario4[[#This Row],[wins]]/HighlanderAbilities2Scenario4[[#This Row],[takes]],0)</f>
        <v>0.31428571428571428</v>
      </c>
      <c r="P92" s="20"/>
      <c r="Q92" s="20"/>
      <c r="R92" s="20"/>
      <c r="S92" s="22"/>
    </row>
    <row r="93" spans="11:19" x14ac:dyDescent="0.4">
      <c r="K93" s="19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21">
        <f>IF(SUM(HighlanderAbilities2Scenario4[[#This Row],[takes]]) &gt; 0,HighlanderAbilities2Scenario4[[#This Row],[takes]]/SUM(HighlanderAbilities2Scenario4[takes]),0)</f>
        <v>0</v>
      </c>
      <c r="O93" s="21">
        <f>IF(HighlanderAbilities2Scenario4[[#This Row],[takes]]&gt;0,HighlanderAbilities2Scenario4[[#This Row],[wins]]/HighlanderAbilities2Scenario4[[#This Row],[takes]],0)</f>
        <v>0</v>
      </c>
      <c r="P93" s="20"/>
      <c r="Q93" s="20"/>
      <c r="R93" s="20"/>
      <c r="S93" s="22"/>
    </row>
    <row r="94" spans="11:19" x14ac:dyDescent="0.4">
      <c r="K94" s="25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4">
        <f>IF(SUM(HighlanderAbilities2Scenario4[[#This Row],[takes]]) &gt; 0,HighlanderAbilities2Scenario4[[#This Row],[takes]]/SUM(HighlanderAbilities2Scenario4[takes]),0)</f>
        <v>0</v>
      </c>
      <c r="O94" s="14">
        <f>IF(HighlanderAbilities2Scenario4[[#This Row],[takes]]&gt;0,HighlanderAbilities2Scenario4[[#This Row],[wins]]/HighlanderAbilities2Scenario4[[#This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26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5">
        <f>IF(SUM(HighlanderAbilities3Scenario4[[#This Row],[takes]]) &gt; 0,HighlanderAbilities3Scenario4[[#This Row],[takes]]/SUM(HighlanderAbilities3Scenario4[takes]),0)</f>
        <v>0</v>
      </c>
      <c r="O97" s="15">
        <f>IF(HighlanderAbilities3Scenario4[[#This Row],[takes]]&gt;0,HighlanderAbilities3Scenario4[[#This Row],[wins]]/HighlanderAbilities3Scenario4[[#This Row],[takes]],0)</f>
        <v>0</v>
      </c>
      <c r="P97" s="20"/>
      <c r="Q97" s="20"/>
      <c r="R97" s="20"/>
      <c r="S97" s="22"/>
    </row>
    <row r="98" spans="11:19" x14ac:dyDescent="0.4">
      <c r="K98" s="24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34</v>
      </c>
      <c r="M98" s="2">
        <f>COUNTIF(Scenario4[winner1-ability3],HighlanderAbilities3Scenario4[[#This Row],[ability]])</f>
        <v>11</v>
      </c>
      <c r="N98" s="13">
        <f>IF(SUM(HighlanderAbilities3Scenario4[[#This Row],[takes]]) &gt; 0,HighlanderAbilities3Scenario4[[#This Row],[takes]]/SUM(HighlanderAbilities3Scenario4[takes]),0)</f>
        <v>1</v>
      </c>
      <c r="O98" s="13">
        <f>IF(HighlanderAbilities3Scenario4[[#This Row],[takes]]&gt;0,HighlanderAbilities3Scenario4[[#This Row],[wins]]/HighlanderAbilities3Scenario4[[#This Row],[takes]],0)</f>
        <v>0.3235294117647059</v>
      </c>
      <c r="P98" s="20"/>
      <c r="Q98" s="20"/>
      <c r="R98" s="20"/>
      <c r="S98" s="22"/>
    </row>
    <row r="99" spans="11:19" x14ac:dyDescent="0.4">
      <c r="K99" s="27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6">
        <f>IF(SUM(HighlanderAbilities3Scenario4[[#This Row],[takes]]) &gt; 0,HighlanderAbilities3Scenario4[[#This Row],[takes]]/SUM(HighlanderAbilities3Scenario4[takes]),0)</f>
        <v>0</v>
      </c>
      <c r="O99" s="16">
        <f>IF(HighlanderAbilities3Scenario4[[#This Row],[takes]]&gt;0,HighlanderAbilities3Scenario4[[#This Row],[wins]]/HighlanderAbilities3Scenario4[[#This Row],[takes]],0)</f>
        <v>0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4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31</v>
      </c>
      <c r="M102" s="2">
        <f>COUNTIF(Scenario4[winner1-ability4],HighlanderAbilities4Scenario4[[#This Row],[ability]])</f>
        <v>10</v>
      </c>
      <c r="N102" s="13">
        <f>IF(SUM(HighlanderAbilities4Scenario4[[#This Row],[takes]]) &gt; 0,HighlanderAbilities4Scenario4[[#This Row],[takes]]/SUM(HighlanderAbilities4Scenario4[takes]),0)</f>
        <v>0.96875</v>
      </c>
      <c r="O102" s="13">
        <f>IF(HighlanderAbilities4Scenario4[[#This Row],[takes]]&gt;0,HighlanderAbilities4Scenario4[[#This Row],[wins]]/HighlanderAbilities4Scenario4[[#This Row],[takes]],0)</f>
        <v>0.32258064516129031</v>
      </c>
      <c r="P102" s="20"/>
      <c r="Q102" s="20"/>
      <c r="R102" s="20"/>
      <c r="S102" s="22"/>
    </row>
    <row r="103" spans="11:19" x14ac:dyDescent="0.4">
      <c r="K103" s="24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</v>
      </c>
      <c r="M103" s="2">
        <f>COUNTIF(Scenario4[winner1-ability4],HighlanderAbilities4Scenario4[[#This Row],[ability]])</f>
        <v>0</v>
      </c>
      <c r="N103" s="13">
        <f>IF(SUM(HighlanderAbilities4Scenario4[[#This Row],[takes]]) &gt; 0,HighlanderAbilities4Scenario4[[#This Row],[takes]]/SUM(HighlanderAbilities4Scenario4[takes]),0)</f>
        <v>3.125E-2</v>
      </c>
      <c r="O103" s="13">
        <f>IF(HighlanderAbilities4Scenario4[[#This Row],[takes]]&gt;0,HighlanderAbilities4Scenario4[[#This Row],[wins]]/HighlanderAbilities4Scenario4[[#This Row],[takes]],0)</f>
        <v>0</v>
      </c>
      <c r="P103" s="20"/>
      <c r="Q103" s="20"/>
      <c r="R103" s="20"/>
      <c r="S103" s="22"/>
    </row>
    <row r="104" spans="11:19" ht="15" thickBot="1" x14ac:dyDescent="0.45">
      <c r="K104" s="28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4" s="2">
        <f>COUNTIF(Scenario4[winner1-ability4],HighlanderAbilities4Scenario4[[#This Row],[ability]])</f>
        <v>0</v>
      </c>
      <c r="N104" s="30">
        <f>IF(SUM(HighlanderAbilities4Scenario4[[#This Row],[takes]]) &gt; 0,HighlanderAbilities4Scenario4[[#This Row],[takes]]/SUM(HighlanderAbilities4Scenario4[takes]),0)</f>
        <v>0</v>
      </c>
      <c r="O104" s="30">
        <f>IF(HighlanderAbilities4Scenario4[[#This Row],[takes]]&gt;0,HighlanderAbilities4Scenario4[[#This Row],[wins]]/HighlanderAbilities4Scenario4[[#This Row],[takes]],0)</f>
        <v>0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1" t="s">
        <v>824</v>
      </c>
      <c r="L106" s="42"/>
      <c r="M106" s="42"/>
      <c r="N106" s="42"/>
      <c r="O106" s="42"/>
      <c r="P106" s="42"/>
      <c r="Q106" s="42"/>
      <c r="R106" s="42"/>
      <c r="S106" s="43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165</v>
      </c>
      <c r="S107" s="22" t="s">
        <v>164</v>
      </c>
    </row>
    <row r="108" spans="11:19" x14ac:dyDescent="0.4">
      <c r="K108" s="19" t="s">
        <v>68</v>
      </c>
      <c r="L108" s="2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0</v>
      </c>
      <c r="M108" s="20">
        <f>COUNTIF(Scenario5[winner1-ability1],HighlanderAbilities1Scenario5[[#This Row],[ability]])+COUNTIF(Scenario5[winner2-ability1],HighlanderAbilities1Scenario5[[#This Row],[ability]])</f>
        <v>0</v>
      </c>
      <c r="N108" s="21">
        <f>IF(SUM(HighlanderAbilities1Scenario5[[#This Row],[takes]]) &gt; 0,HighlanderAbilities1Scenario5[[#This Row],[takes]]/SUM(HighlanderAbilities1Scenario5[takes]),0)</f>
        <v>0</v>
      </c>
      <c r="O108" s="21">
        <f>IF(HighlanderAbilities1Scenario5[[#This Row],[takes]]&gt;0,HighlanderAbilities1Scenario5[[#This Row],[wins]]/HighlanderAbilities1Scenario5[[#This Row],[takes]],0)</f>
        <v>0</v>
      </c>
      <c r="P108" s="20"/>
      <c r="Q108" s="20">
        <v>1</v>
      </c>
      <c r="R108" s="2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4</v>
      </c>
      <c r="S108" s="22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5</v>
      </c>
    </row>
    <row r="109" spans="11:19" x14ac:dyDescent="0.4">
      <c r="K109" s="19" t="s">
        <v>120</v>
      </c>
      <c r="L109" s="2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12</v>
      </c>
      <c r="M109" s="20">
        <f>COUNTIF(Scenario5[winner1-ability1],HighlanderAbilities1Scenario5[[#This Row],[ability]])+COUNTIF(Scenario5[winner2-ability1],HighlanderAbilities1Scenario5[[#This Row],[ability]])</f>
        <v>8</v>
      </c>
      <c r="N109" s="21">
        <f>IF(SUM(HighlanderAbilities1Scenario5[[#This Row],[takes]]) &gt; 0,HighlanderAbilities1Scenario5[[#This Row],[takes]]/SUM(HighlanderAbilities1Scenario5[takes]),0)</f>
        <v>1</v>
      </c>
      <c r="O109" s="21">
        <f>IF(HighlanderAbilities1Scenario5[[#This Row],[takes]]&gt;0,HighlanderAbilities1Scenario5[[#This Row],[wins]]/HighlanderAbilities1Scenario5[[#This Row],[takes]],0)</f>
        <v>0.66666666666666663</v>
      </c>
      <c r="P109" s="20"/>
      <c r="Q109" s="20">
        <v>2</v>
      </c>
      <c r="R109" s="2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</v>
      </c>
      <c r="S109" s="22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4</v>
      </c>
    </row>
    <row r="110" spans="11:19" x14ac:dyDescent="0.4">
      <c r="K110" s="19" t="s">
        <v>57</v>
      </c>
      <c r="L110" s="2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0</v>
      </c>
      <c r="M110" s="20">
        <f>COUNTIF(Scenario5[winner1-ability1],HighlanderAbilities1Scenario5[[#This Row],[ability]])+COUNTIF(Scenario5[winner2-ability1],HighlanderAbilities1Scenario5[[#This Row],[ability]])</f>
        <v>0</v>
      </c>
      <c r="N110" s="21">
        <f>IF(SUM(HighlanderAbilities1Scenario5[[#This Row],[takes]]) &gt; 0,HighlanderAbilities1Scenario5[[#This Row],[takes]]/SUM(HighlanderAbilities1Scenario5[takes]),0)</f>
        <v>0</v>
      </c>
      <c r="O110" s="21">
        <f>IF(HighlanderAbilities1Scenario5[[#This Row],[takes]]&gt;0,HighlanderAbilities1Scenario5[[#This Row],[wins]]/HighlanderAbilities1Scenario5[[#This Row],[takes]],0)</f>
        <v>0</v>
      </c>
      <c r="P110" s="20"/>
      <c r="Q110" s="20">
        <v>3</v>
      </c>
      <c r="R110" s="2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</v>
      </c>
      <c r="S110" s="22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3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4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7</v>
      </c>
      <c r="M113" s="2">
        <f>COUNTIF(Scenario5[winner1-ability2],HighlanderAbilities2Scenario5[[#This Row],[ability]])+COUNTIF(Scenario5[winner2-ability2],HighlanderAbilities2Scenario5[[#This Row],[ability]])</f>
        <v>5</v>
      </c>
      <c r="N113" s="13">
        <f>IF(SUM(HighlanderAbilities2Scenario5[[#This Row],[takes]]) &gt; 0,HighlanderAbilities2Scenario5[[#This Row],[takes]]/SUM(HighlanderAbilities2Scenario5[takes]),0)</f>
        <v>0.63636363636363635</v>
      </c>
      <c r="O113" s="13">
        <f>IF(HighlanderAbilities2Scenario5[[#This Row],[takes]]&gt;0,HighlanderAbilities2Scenario5[[#This Row],[wins]]/HighlanderAbilities2Scenario5[[#This Row],[takes]],0)</f>
        <v>0.7142857142857143</v>
      </c>
      <c r="P113" s="20"/>
      <c r="Q113" s="20"/>
      <c r="R113" s="20"/>
      <c r="S113" s="22"/>
    </row>
    <row r="114" spans="11:19" x14ac:dyDescent="0.4">
      <c r="K114" s="19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</v>
      </c>
      <c r="M114" s="2">
        <f>COUNTIF(Scenario5[winner1-ability2],HighlanderAbilities2Scenario5[[#This Row],[ability]])+COUNTIF(Scenario5[winner2-ability2],HighlanderAbilities2Scenario5[[#This Row],[ability]])</f>
        <v>2</v>
      </c>
      <c r="N114" s="21">
        <f>IF(SUM(HighlanderAbilities2Scenario5[[#This Row],[takes]]) &gt; 0,HighlanderAbilities2Scenario5[[#This Row],[takes]]/SUM(HighlanderAbilities2Scenario5[takes]),0)</f>
        <v>0.18181818181818182</v>
      </c>
      <c r="O114" s="21">
        <f>IF(HighlanderAbilities2Scenario5[[#This Row],[takes]]&gt;0,HighlanderAbilities2Scenario5[[#This Row],[wins]]/HighlanderAbilities2Scenario5[[#This Row],[takes]],0)</f>
        <v>1</v>
      </c>
      <c r="P114" s="20"/>
      <c r="Q114" s="20"/>
      <c r="R114" s="20"/>
      <c r="S114" s="22"/>
    </row>
    <row r="115" spans="11:19" x14ac:dyDescent="0.4">
      <c r="K115" s="25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</v>
      </c>
      <c r="M115" s="2">
        <f>COUNTIF(Scenario5[winner1-ability2],HighlanderAbilities2Scenario5[[#This Row],[ability]])+COUNTIF(Scenario5[winner2-ability2],HighlanderAbilities2Scenario5[[#This Row],[ability]])</f>
        <v>1</v>
      </c>
      <c r="N115" s="14">
        <f>IF(SUM(HighlanderAbilities2Scenario5[[#This Row],[takes]]) &gt; 0,HighlanderAbilities2Scenario5[[#This Row],[takes]]/SUM(HighlanderAbilities2Scenario5[takes]),0)</f>
        <v>0.18181818181818182</v>
      </c>
      <c r="O115" s="14">
        <f>IF(HighlanderAbilities2Scenario5[[#This Row],[takes]]&gt;0,HighlanderAbilities2Scenario5[[#This Row],[wins]]/HighlanderAbilities2Scenario5[[#This Row],[takes]],0)</f>
        <v>0.5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26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4</v>
      </c>
      <c r="M118" s="1">
        <f>COUNTIF(Scenario5[winner1-ability3],HighlanderAbilities3Scenario5[[#This Row],[ability]])+COUNTIF(Scenario5[winner2-ability3],HighlanderAbilities3Scenario5[[#This Row],[ability]])</f>
        <v>4</v>
      </c>
      <c r="N118" s="15">
        <f>IF(SUM(HighlanderAbilities3Scenario5[[#This Row],[takes]]) &gt; 0,HighlanderAbilities3Scenario5[[#This Row],[takes]]/SUM(HighlanderAbilities3Scenario5[takes]),0)</f>
        <v>0.4</v>
      </c>
      <c r="O118" s="15">
        <f>IF(HighlanderAbilities3Scenario5[[#This Row],[takes]]&gt;0,HighlanderAbilities3Scenario5[[#This Row],[wins]]/HighlanderAbilities3Scenario5[[#This Row],[takes]],0)</f>
        <v>1</v>
      </c>
      <c r="P118" s="20"/>
      <c r="Q118" s="20"/>
      <c r="R118" s="20"/>
      <c r="S118" s="22"/>
    </row>
    <row r="119" spans="11:19" x14ac:dyDescent="0.4">
      <c r="K119" s="24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6</v>
      </c>
      <c r="M119" s="2">
        <f>COUNTIF(Scenario5[winner1-ability3],HighlanderAbilities3Scenario5[[#This Row],[ability]])+COUNTIF(Scenario5[winner2-ability3],HighlanderAbilities3Scenario5[[#This Row],[ability]])</f>
        <v>4</v>
      </c>
      <c r="N119" s="13">
        <f>IF(SUM(HighlanderAbilities3Scenario5[[#This Row],[takes]]) &gt; 0,HighlanderAbilities3Scenario5[[#This Row],[takes]]/SUM(HighlanderAbilities3Scenario5[takes]),0)</f>
        <v>0.6</v>
      </c>
      <c r="O119" s="13">
        <f>IF(HighlanderAbilities3Scenario5[[#This Row],[takes]]&gt;0,HighlanderAbilities3Scenario5[[#This Row],[wins]]/HighlanderAbilities3Scenario5[[#This Row],[takes]],0)</f>
        <v>0.66666666666666663</v>
      </c>
      <c r="P119" s="20"/>
      <c r="Q119" s="20"/>
      <c r="R119" s="20"/>
      <c r="S119" s="22"/>
    </row>
    <row r="120" spans="11:19" x14ac:dyDescent="0.4">
      <c r="K120" s="27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0</v>
      </c>
      <c r="M120" s="1">
        <f>COUNTIF(Scenario5[winner1-ability3],HighlanderAbilities3Scenario5[[#This Row],[ability]])+COUNTIF(Scenario5[winner2-ability3],HighlanderAbilities3Scenario5[[#This Row],[ability]])</f>
        <v>0</v>
      </c>
      <c r="N120" s="16">
        <f>IF(SUM(HighlanderAbilities3Scenario5[[#This Row],[takes]]) &gt; 0,HighlanderAbilities3Scenario5[[#This Row],[takes]]/SUM(HighlanderAbilities3Scenario5[takes]),0)</f>
        <v>0</v>
      </c>
      <c r="O120" s="16">
        <f>IF(HighlanderAbilities3Scenario5[[#This Row],[takes]]&gt;0,HighlanderAbilities3Scenario5[[#This Row],[wins]]/HighlanderAbilities3Scenario5[[#This Row],[takes]],0)</f>
        <v>0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4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</v>
      </c>
      <c r="M123" s="2">
        <f>COUNTIF(Scenario5[winner1-ability4],HighlanderAbilities4Scenario5[[#This Row],[ability]])+COUNTIF(Scenario5[winner2-ability4],HighlanderAbilities4Scenario5[[#This Row],[ability]])</f>
        <v>1</v>
      </c>
      <c r="N123" s="13">
        <f>IF(SUM(HighlanderAbilities4Scenario5[[#This Row],[takes]]) &gt; 0,HighlanderAbilities4Scenario5[[#This Row],[takes]]/SUM(HighlanderAbilities4Scenario5[takes]),0)</f>
        <v>0.2</v>
      </c>
      <c r="O123" s="13">
        <f>IF(HighlanderAbilities4Scenario5[[#This Row],[takes]]&gt;0,HighlanderAbilities4Scenario5[[#This Row],[wins]]/HighlanderAbilities4Scenario5[[#This Row],[takes]],0)</f>
        <v>1</v>
      </c>
      <c r="P123" s="20"/>
      <c r="Q123" s="20"/>
      <c r="R123" s="20"/>
      <c r="S123" s="22"/>
    </row>
    <row r="124" spans="11:19" x14ac:dyDescent="0.4">
      <c r="K124" s="24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3</v>
      </c>
      <c r="M124" s="2">
        <f>COUNTIF(Scenario5[winner1-ability4],HighlanderAbilities4Scenario5[[#This Row],[ability]])+COUNTIF(Scenario5[winner2-ability4],HighlanderAbilities4Scenario5[[#This Row],[ability]])</f>
        <v>2</v>
      </c>
      <c r="N124" s="13">
        <f>IF(SUM(HighlanderAbilities4Scenario5[[#This Row],[takes]]) &gt; 0,HighlanderAbilities4Scenario5[[#This Row],[takes]]/SUM(HighlanderAbilities4Scenario5[takes]),0)</f>
        <v>0.6</v>
      </c>
      <c r="O124" s="13">
        <f>IF(HighlanderAbilities4Scenario5[[#This Row],[takes]]&gt;0,HighlanderAbilities4Scenario5[[#This Row],[wins]]/HighlanderAbilities4Scenario5[[#This Row],[takes]],0)</f>
        <v>0.66666666666666663</v>
      </c>
      <c r="P124" s="20"/>
      <c r="Q124" s="20"/>
      <c r="R124" s="20"/>
      <c r="S124" s="22"/>
    </row>
    <row r="125" spans="11:19" ht="15" thickBot="1" x14ac:dyDescent="0.45">
      <c r="K125" s="28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</v>
      </c>
      <c r="M125" s="2">
        <f>COUNTIF(Scenario5[winner1-ability4],HighlanderAbilities4Scenario5[[#This Row],[ability]])+COUNTIF(Scenario5[winner2-ability4],HighlanderAbilities4Scenario5[[#This Row],[ability]])</f>
        <v>1</v>
      </c>
      <c r="N125" s="30">
        <f>IF(SUM(HighlanderAbilities4Scenario5[[#This Row],[takes]]) &gt; 0,HighlanderAbilities4Scenario5[[#This Row],[takes]]/SUM(HighlanderAbilities4Scenario5[takes]),0)</f>
        <v>0.2</v>
      </c>
      <c r="O125" s="30">
        <f>IF(HighlanderAbilities4Scenario5[[#This Row],[takes]]&gt;0,HighlanderAbilities4Scenario5[[#This Row],[wins]]/HighlanderAbilities4Scenario5[[#This Row],[takes]],0)</f>
        <v>1</v>
      </c>
      <c r="P125" s="31"/>
      <c r="Q125" s="31"/>
      <c r="R125" s="31"/>
      <c r="S125" s="32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H12" sqref="H12"/>
    </sheetView>
  </sheetViews>
  <sheetFormatPr defaultRowHeight="14.6" x14ac:dyDescent="0.4"/>
  <cols>
    <col min="1" max="1" width="19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765625" bestFit="1" customWidth="1"/>
    <col min="9" max="9" width="11.84375" bestFit="1" customWidth="1"/>
    <col min="10" max="10" width="3.84375" customWidth="1"/>
    <col min="11" max="11" width="19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3.3828125" customWidth="1"/>
    <col min="17" max="17" width="6.921875" bestFit="1" customWidth="1"/>
    <col min="18" max="18" width="6.765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3"/>
      <c r="K1" s="41" t="s">
        <v>392</v>
      </c>
      <c r="L1" s="42"/>
      <c r="M1" s="42"/>
      <c r="N1" s="42"/>
      <c r="O1" s="42"/>
      <c r="P1" s="42"/>
      <c r="Q1" s="42"/>
      <c r="R1" s="42"/>
      <c r="S1" s="43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166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166</v>
      </c>
      <c r="S2" s="22" t="s">
        <v>164</v>
      </c>
      <c r="T2" s="20"/>
      <c r="U2" t="s">
        <v>405</v>
      </c>
      <c r="V2" s="3">
        <f>H4/SUM(DruidEquip[staff])</f>
        <v>0.2982456140350877</v>
      </c>
    </row>
    <row r="3" spans="1:22" x14ac:dyDescent="0.4">
      <c r="A3" t="s">
        <v>49</v>
      </c>
      <c r="B3" s="20">
        <f>L3+L24+L45+L66+L87+L108</f>
        <v>122</v>
      </c>
      <c r="C3" s="20">
        <f>M3+M24+M45+M66+M87+M108</f>
        <v>42</v>
      </c>
      <c r="D3" s="21">
        <f>IF(SUM(DruidAbilities1[[#This Row],[takes]]) &gt; 0,DruidAbilities1[[#This Row],[takes]]/SUM(DruidAbilities1[takes]),0)</f>
        <v>0.42807017543859649</v>
      </c>
      <c r="E3" s="21">
        <f>IF(DruidAbilities1[[#This Row],[takes]]&gt;0,DruidAbilities1[[#This Row],[wins]]/DruidAbilities1[[#This Row],[takes]],0)</f>
        <v>0.34426229508196721</v>
      </c>
      <c r="F3" s="20"/>
      <c r="G3" s="20">
        <v>1</v>
      </c>
      <c r="H3" s="20">
        <f>R3+R24+R45+R66+R87+R108</f>
        <v>113</v>
      </c>
      <c r="I3" s="22">
        <f>S3+S24+S45+S66+S87+S108</f>
        <v>207</v>
      </c>
      <c r="K3" t="s">
        <v>49</v>
      </c>
      <c r="L3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64</v>
      </c>
      <c r="M3" s="20">
        <f>COUNTIF(Scenario0[winner1-ability1],DruidAbilities1Scenario0[[#This Row],[ability]])+COUNTIF(Scenario0[winner2-ability1],DruidAbilities1Scenario0[[#This Row],[ability]])</f>
        <v>24</v>
      </c>
      <c r="N3" s="21">
        <f>IF(SUM(DruidAbilities1Scenario0[[#This Row],[takes]]) &gt; 0,DruidAbilities1Scenario0[[#This Row],[takes]]/SUM(DruidAbilities1Scenario0[takes]),0)</f>
        <v>0.60952380952380958</v>
      </c>
      <c r="O3" s="21">
        <f>IF(DruidAbilities1Scenario0[[#This Row],[takes]]&gt;0,DruidAbilities1Scenario0[[#This Row],[wins]]/DruidAbilities1Scenario0[[#This Row],[takes]],0)</f>
        <v>0.375</v>
      </c>
      <c r="P3" s="20"/>
      <c r="Q3" s="20">
        <v>1</v>
      </c>
      <c r="R3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60</v>
      </c>
      <c r="S3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92</v>
      </c>
      <c r="T3" s="20"/>
      <c r="U3" t="s">
        <v>406</v>
      </c>
      <c r="V3" s="18">
        <f>H5/SUM(DruidEquip[staff])</f>
        <v>0.30526315789473685</v>
      </c>
    </row>
    <row r="4" spans="1:22" x14ac:dyDescent="0.4">
      <c r="A4" t="s">
        <v>89</v>
      </c>
      <c r="B4" s="20">
        <f t="shared" ref="B4:B5" si="0">L4+L25+L46+L67+L88+L109</f>
        <v>102</v>
      </c>
      <c r="C4" s="20">
        <f t="shared" ref="C4:C5" si="1">M4+M25+M46+M67+M88+M109</f>
        <v>35</v>
      </c>
      <c r="D4" s="21">
        <f>IF(SUM(DruidAbilities1[[#This Row],[takes]]) &gt; 0,DruidAbilities1[[#This Row],[takes]]/SUM(DruidAbilities1[takes]),0)</f>
        <v>0.35789473684210527</v>
      </c>
      <c r="E4" s="21">
        <f>IF(DruidAbilities1[[#This Row],[takes]]&gt;0,DruidAbilities1[[#This Row],[wins]]/DruidAbilities1[[#This Row],[takes]],0)</f>
        <v>0.34313725490196079</v>
      </c>
      <c r="F4" s="20"/>
      <c r="G4" s="20">
        <v>2</v>
      </c>
      <c r="H4" s="20">
        <f t="shared" ref="H4:H5" si="2">R4+R25+R46+R67+R88+R109</f>
        <v>85</v>
      </c>
      <c r="I4" s="22">
        <f t="shared" ref="I4:I5" si="3">S4+S25+S46+S67+S88+S109</f>
        <v>34</v>
      </c>
      <c r="K4" t="s">
        <v>89</v>
      </c>
      <c r="L4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41</v>
      </c>
      <c r="M4" s="20">
        <f>COUNTIF(Scenario0[winner1-ability1],DruidAbilities1Scenario0[[#This Row],[ability]])+COUNTIF(Scenario0[winner2-ability1],DruidAbilities1Scenario0[[#This Row],[ability]])</f>
        <v>10</v>
      </c>
      <c r="N4" s="21">
        <f>IF(SUM(DruidAbilities1Scenario0[[#This Row],[takes]]) &gt; 0,DruidAbilities1Scenario0[[#This Row],[takes]]/SUM(DruidAbilities1Scenario0[takes]),0)</f>
        <v>0.39047619047619048</v>
      </c>
      <c r="O4" s="21">
        <f>IF(DruidAbilities1Scenario0[[#This Row],[takes]]&gt;0,DruidAbilities1Scenario0[[#This Row],[wins]]/DruidAbilities1Scenario0[[#This Row],[takes]],0)</f>
        <v>0.24390243902439024</v>
      </c>
      <c r="P4" s="20"/>
      <c r="Q4" s="20">
        <v>2</v>
      </c>
      <c r="R4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28</v>
      </c>
      <c r="S4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10</v>
      </c>
      <c r="T4" s="20"/>
      <c r="U4" t="s">
        <v>179</v>
      </c>
      <c r="V4" s="3">
        <f>DruidEquip[[#This Row],[chestpiece]]/SUM(DruidEquip[chestpiece])</f>
        <v>0.11929824561403508</v>
      </c>
    </row>
    <row r="5" spans="1:22" x14ac:dyDescent="0.4">
      <c r="A5" t="s">
        <v>126</v>
      </c>
      <c r="B5" s="20">
        <f t="shared" si="0"/>
        <v>61</v>
      </c>
      <c r="C5" s="20">
        <f t="shared" si="1"/>
        <v>12</v>
      </c>
      <c r="D5" s="21">
        <f>IF(SUM(DruidAbilities1[[#This Row],[takes]]) &gt; 0,DruidAbilities1[[#This Row],[takes]]/SUM(DruidAbilities1[takes]),0)</f>
        <v>0.21403508771929824</v>
      </c>
      <c r="E5" s="21">
        <f>IF(DruidAbilities1[[#This Row],[takes]]&gt;0,DruidAbilities1[[#This Row],[wins]]/DruidAbilities1[[#This Row],[takes]],0)</f>
        <v>0.19672131147540983</v>
      </c>
      <c r="F5" s="20"/>
      <c r="G5" s="20">
        <v>3</v>
      </c>
      <c r="H5" s="20">
        <f t="shared" si="2"/>
        <v>87</v>
      </c>
      <c r="I5" s="22">
        <f t="shared" si="3"/>
        <v>44</v>
      </c>
      <c r="K5" t="s">
        <v>126</v>
      </c>
      <c r="L5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 s="20">
        <f>COUNTIF(Scenario0[winner1-ability1],DruidAbilities1Scenario0[[#This Row],[ability]])+COUNTIF(Scenario0[winner2-ability1],DruidAbilities1Scenario0[[#This Row],[ability]])</f>
        <v>0</v>
      </c>
      <c r="N5" s="21">
        <f>IF(SUM(DruidAbilities1Scenario0[[#This Row],[takes]]) &gt; 0,DruidAbilities1Scenario0[[#This Row],[takes]]/SUM(DruidAbilities1Scenario0[takes]),0)</f>
        <v>0</v>
      </c>
      <c r="O5" s="21">
        <f>IF(DruidAbilities1Scenario0[[#This Row],[takes]]&gt;0,DruidAbilities1Scenario0[[#This Row],[wins]]/DruidAbilities1Scenario0[[#This Row],[takes]],0)</f>
        <v>0</v>
      </c>
      <c r="P5" s="20"/>
      <c r="Q5" s="20">
        <v>3</v>
      </c>
      <c r="R5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17</v>
      </c>
      <c r="S5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T5" s="20"/>
      <c r="U5" t="s">
        <v>180</v>
      </c>
      <c r="V5" s="18">
        <f>DruidEquip[[#This Row],[chestpiece]]/SUM(DruidEquip[chestpiece])</f>
        <v>0.15438596491228071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SUM(DruidAbilities2[takes])/SUM(DruidAbilities1[takes])</f>
        <v>0.49824561403508771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SUM(DruidAbilities3[takes])/SUM(DruidAbilities1[takes])</f>
        <v>0.3298245614035088</v>
      </c>
    </row>
    <row r="8" spans="1:22" x14ac:dyDescent="0.4">
      <c r="A8" s="2" t="s">
        <v>71</v>
      </c>
      <c r="B8" s="2">
        <f>L8+L29+L50+L71+L92+L113</f>
        <v>66</v>
      </c>
      <c r="C8" s="2">
        <f>M8+M29+M50+M71+M92+M113</f>
        <v>25</v>
      </c>
      <c r="D8" s="13">
        <f>IF(SUM(DruidAbilities2[[#This Row],[takes]]) &gt; 0,DruidAbilities2[[#This Row],[takes]]/SUM(DruidAbilities2[takes]),0)</f>
        <v>0.46478873239436619</v>
      </c>
      <c r="E8" s="13">
        <f>IF(DruidAbilities2[[#This Row],[takes]]&gt;0,DruidAbilities2[[#This Row],[wins]]/DruidAbilities2[[#This Row],[takes]],0)</f>
        <v>0.37878787878787878</v>
      </c>
      <c r="F8" s="20"/>
      <c r="G8" s="20"/>
      <c r="H8" s="20"/>
      <c r="I8" s="22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12</v>
      </c>
      <c r="M8" s="2">
        <f>COUNTIF(Scenario0[winner1-ability2],DruidAbilities2Scenario0[[#This Row],[ability]])+COUNTIF(Scenario0[winner2-ability2],DruidAbilities2Scenario0[[#This Row],[ability]])</f>
        <v>11</v>
      </c>
      <c r="N8" s="13">
        <f>IF(SUM(DruidAbilities2Scenario0[[#This Row],[takes]]) &gt; 0,DruidAbilities2Scenario0[[#This Row],[takes]]/SUM(DruidAbilities2Scenario0[takes]),0)</f>
        <v>0.29268292682926828</v>
      </c>
      <c r="O8" s="13">
        <f>IF(DruidAbilities2Scenario0[[#This Row],[takes]]&gt;0,DruidAbilities2Scenario0[[#This Row],[wins]]/DruidAbilities2Scenario0[[#This Row],[takes]],0)</f>
        <v>0.91666666666666663</v>
      </c>
      <c r="P8" s="20"/>
      <c r="Q8" s="20"/>
      <c r="R8" s="20"/>
      <c r="S8" s="22"/>
      <c r="T8" s="20"/>
      <c r="U8" t="s">
        <v>178</v>
      </c>
      <c r="V8" s="18">
        <f>SUM(DruidAbilities4[takes])/SUM(DruidAbilities1[takes])</f>
        <v>0.23859649122807017</v>
      </c>
    </row>
    <row r="9" spans="1:22" x14ac:dyDescent="0.4">
      <c r="A9" t="s">
        <v>50</v>
      </c>
      <c r="B9" s="2">
        <f t="shared" ref="B9:B10" si="4">L9+L30+L51+L72+L93+L114</f>
        <v>48</v>
      </c>
      <c r="C9" s="2">
        <f t="shared" ref="C9:C10" si="5">M9+M30+M51+M72+M93+M114</f>
        <v>12</v>
      </c>
      <c r="D9" s="21">
        <f>IF(SUM(DruidAbilities2[[#This Row],[takes]]) &gt; 0,DruidAbilities2[[#This Row],[takes]]/SUM(DruidAbilities2[takes]),0)</f>
        <v>0.3380281690140845</v>
      </c>
      <c r="E9" s="21">
        <f>IF(DruidAbilities2[[#This Row],[takes]]&gt;0,DruidAbilities2[[#This Row],[wins]]/DruidAbilities2[[#This Row],[takes]],0)</f>
        <v>0.25</v>
      </c>
      <c r="F9" s="20"/>
      <c r="G9" s="20"/>
      <c r="H9" s="20"/>
      <c r="I9" s="22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25</v>
      </c>
      <c r="M9" s="2">
        <f>COUNTIF(Scenario0[winner1-ability2],DruidAbilities2Scenario0[[#This Row],[ability]])+COUNTIF(Scenario0[winner2-ability2],DruidAbilities2Scenario0[[#This Row],[ability]])</f>
        <v>6</v>
      </c>
      <c r="N9" s="21">
        <f>IF(SUM(DruidAbilities2Scenario0[[#This Row],[takes]]) &gt; 0,DruidAbilities2Scenario0[[#This Row],[takes]]/SUM(DruidAbilities2Scenario0[takes]),0)</f>
        <v>0.6097560975609756</v>
      </c>
      <c r="O9" s="21">
        <f>IF(DruidAbilities2Scenario0[[#This Row],[takes]]&gt;0,DruidAbilities2Scenario0[[#This Row],[wins]]/DruidAbilities2Scenario0[[#This Row],[takes]],0)</f>
        <v>0.24</v>
      </c>
      <c r="P9" s="20"/>
      <c r="Q9" s="20"/>
      <c r="R9" s="20"/>
      <c r="S9" s="22"/>
      <c r="T9" s="20"/>
      <c r="U9" t="s">
        <v>404</v>
      </c>
      <c r="V9" s="39">
        <f>(SUM(DruidAbilities2[takes])+SUM(DruidAbilities3[takes])+SUM(DruidAbilities4[takes])+SUM(H4:H5)+SUM(I4:I5))/SUM(DruidAbilities1[takes])</f>
        <v>1.9438596491228071</v>
      </c>
    </row>
    <row r="10" spans="1:22" x14ac:dyDescent="0.4">
      <c r="A10" s="11" t="s">
        <v>84</v>
      </c>
      <c r="B10" s="2">
        <f t="shared" si="4"/>
        <v>28</v>
      </c>
      <c r="C10" s="2">
        <f t="shared" si="5"/>
        <v>7</v>
      </c>
      <c r="D10" s="14">
        <f>IF(SUM(DruidAbilities2[[#This Row],[takes]]) &gt; 0,DruidAbilities2[[#This Row],[takes]]/SUM(DruidAbilities2[takes]),0)</f>
        <v>0.19718309859154928</v>
      </c>
      <c r="E10" s="14">
        <f>IF(DruidAbilities2[[#This Row],[takes]]&gt;0,DruidAbilities2[[#This Row],[wins]]/DruidAbilities2[[#This Row],[takes]],0)</f>
        <v>0.25</v>
      </c>
      <c r="F10" s="20"/>
      <c r="G10" s="20"/>
      <c r="H10" s="20"/>
      <c r="I10" s="22"/>
      <c r="K10" s="11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4</v>
      </c>
      <c r="M10" s="2">
        <f>COUNTIF(Scenario0[winner1-ability2],DruidAbilities2Scenario0[[#This Row],[ability]])+COUNTIF(Scenario0[winner2-ability2],DruidAbilities2Scenario0[[#This Row],[ability]])</f>
        <v>2</v>
      </c>
      <c r="N10" s="14">
        <f>IF(SUM(DruidAbilities2Scenario0[[#This Row],[takes]]) &gt; 0,DruidAbilities2Scenario0[[#This Row],[takes]]/SUM(DruidAbilities2Scenario0[takes]),0)</f>
        <v>9.7560975609756101E-2</v>
      </c>
      <c r="O10" s="14">
        <f>IF(DruidAbilities2Scenario0[[#This Row],[takes]]&gt;0,DruidAbilities2Scenario0[[#This Row],[wins]]/DruidAbilities2Scenario0[[#This Row],[takes]],0)</f>
        <v>0.5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51</v>
      </c>
      <c r="B13" s="1">
        <f>L13+L34+L55+L76+L97+L118</f>
        <v>32</v>
      </c>
      <c r="C13" s="1">
        <f>M13+M34+M55+M76+M97+M118</f>
        <v>11</v>
      </c>
      <c r="D13" s="15">
        <f>IF(SUM(DruidAbilities3[[#This Row],[takes]]) &gt; 0,DruidAbilities3[[#This Row],[takes]]/SUM(DruidAbilities3[takes]),0)</f>
        <v>0.34042553191489361</v>
      </c>
      <c r="E13" s="15">
        <f>IF(DruidAbilities3[[#This Row],[takes]]&gt;0,DruidAbilities3[[#This Row],[wins]]/DruidAbilities3[[#This Row],[takes]],0)</f>
        <v>0.34375</v>
      </c>
      <c r="F13" s="20"/>
      <c r="G13" s="20"/>
      <c r="H13" s="20"/>
      <c r="I13" s="22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9</v>
      </c>
      <c r="M13" s="1">
        <f>COUNTIF(Scenario0[winner1-ability3],DruidAbilities3Scenario0[[#This Row],[ability]])+COUNTIF(Scenario0[winner2-ability3],DruidAbilities3Scenario0[[#This Row],[ability]])</f>
        <v>6</v>
      </c>
      <c r="N13" s="15">
        <f>IF(SUM(DruidAbilities3Scenario0[[#This Row],[takes]]) &gt; 0,DruidAbilities3Scenario0[[#This Row],[takes]]/SUM(DruidAbilities3Scenario0[takes]),0)</f>
        <v>0.42857142857142855</v>
      </c>
      <c r="O13" s="15">
        <f>IF(DruidAbilities3Scenario0[[#This Row],[takes]]&gt;0,DruidAbilities3Scenario0[[#This Row],[wins]]/DruidAbilities3Scenario0[[#This Row],[takes]],0)</f>
        <v>0.66666666666666663</v>
      </c>
      <c r="P13" s="20"/>
      <c r="Q13" s="20"/>
      <c r="R13" s="20"/>
      <c r="S13" s="22"/>
      <c r="T13" s="20"/>
    </row>
    <row r="14" spans="1:22" x14ac:dyDescent="0.4">
      <c r="A14" s="2" t="s">
        <v>127</v>
      </c>
      <c r="B14" s="2">
        <f t="shared" ref="B14:B15" si="6">L14+L35+L56+L77+L98+L119</f>
        <v>29</v>
      </c>
      <c r="C14" s="2">
        <f t="shared" ref="C14:C15" si="7">M14+M35+M56+M77+M98+M119</f>
        <v>8</v>
      </c>
      <c r="D14" s="13">
        <f>IF(SUM(DruidAbilities3[[#This Row],[takes]]) &gt; 0,DruidAbilities3[[#This Row],[takes]]/SUM(DruidAbilities3[takes]),0)</f>
        <v>0.30851063829787234</v>
      </c>
      <c r="E14" s="13">
        <f>IF(DruidAbilities3[[#This Row],[takes]]&gt;0,DruidAbilities3[[#This Row],[wins]]/DruidAbilities3[[#This Row],[takes]],0)</f>
        <v>0.27586206896551724</v>
      </c>
      <c r="F14" s="20"/>
      <c r="G14" s="20"/>
      <c r="H14" s="20"/>
      <c r="I14" s="22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5</v>
      </c>
      <c r="M14" s="2">
        <f>COUNTIF(Scenario0[winner1-ability3],DruidAbilities3Scenario0[[#This Row],[ability]])+COUNTIF(Scenario0[winner2-ability3],DruidAbilities3Scenario0[[#This Row],[ability]])</f>
        <v>3</v>
      </c>
      <c r="N14" s="13">
        <f>IF(SUM(DruidAbilities3Scenario0[[#This Row],[takes]]) &gt; 0,DruidAbilities3Scenario0[[#This Row],[takes]]/SUM(DruidAbilities3Scenario0[takes]),0)</f>
        <v>0.23809523809523808</v>
      </c>
      <c r="O14" s="13">
        <f>IF(DruidAbilities3Scenario0[[#This Row],[takes]]&gt;0,DruidAbilities3Scenario0[[#This Row],[wins]]/DruidAbilities3Scenario0[[#This Row],[takes]],0)</f>
        <v>0.6</v>
      </c>
      <c r="P14" s="20"/>
      <c r="Q14" s="20"/>
      <c r="R14" s="20"/>
      <c r="S14" s="22"/>
      <c r="T14" s="20"/>
    </row>
    <row r="15" spans="1:22" x14ac:dyDescent="0.4">
      <c r="A15" s="12" t="s">
        <v>90</v>
      </c>
      <c r="B15" s="1">
        <f t="shared" si="6"/>
        <v>33</v>
      </c>
      <c r="C15" s="1">
        <f t="shared" si="7"/>
        <v>10</v>
      </c>
      <c r="D15" s="16">
        <f>IF(SUM(DruidAbilities3[[#This Row],[takes]]) &gt; 0,DruidAbilities3[[#This Row],[takes]]/SUM(DruidAbilities3[takes]),0)</f>
        <v>0.35106382978723405</v>
      </c>
      <c r="E15" s="16">
        <f>IF(DruidAbilities3[[#This Row],[takes]]&gt;0,DruidAbilities3[[#This Row],[wins]]/DruidAbilities3[[#This Row],[takes]],0)</f>
        <v>0.30303030303030304</v>
      </c>
      <c r="F15" s="20"/>
      <c r="G15" s="20"/>
      <c r="H15" s="20"/>
      <c r="I15" s="22"/>
      <c r="K15" s="12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7</v>
      </c>
      <c r="M15" s="1">
        <f>COUNTIF(Scenario0[winner1-ability3],DruidAbilities3Scenario0[[#This Row],[ability]])+COUNTIF(Scenario0[winner2-ability3],DruidAbilities3Scenario0[[#This Row],[ability]])</f>
        <v>4</v>
      </c>
      <c r="N15" s="16">
        <f>IF(SUM(DruidAbilities3Scenario0[[#This Row],[takes]]) &gt; 0,DruidAbilities3Scenario0[[#This Row],[takes]]/SUM(DruidAbilities3Scenario0[takes]),0)</f>
        <v>0.33333333333333331</v>
      </c>
      <c r="O15" s="16">
        <f>IF(DruidAbilities3Scenario0[[#This Row],[takes]]&gt;0,DruidAbilities3Scenario0[[#This Row],[wins]]/DruidAbilities3Scenario0[[#This Row],[takes]],0)</f>
        <v>0.5714285714285714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128</v>
      </c>
      <c r="B18" s="2">
        <f>L18+L39+L60+L81+L102+L123</f>
        <v>50</v>
      </c>
      <c r="C18" s="2">
        <f>M18+M39+M60+M81+M102+M123</f>
        <v>12</v>
      </c>
      <c r="D18" s="13">
        <f>IF(SUM(DruidAbilities4[[#This Row],[takes]]) &gt; 0,DruidAbilities4[[#This Row],[takes]]/SUM(DruidAbilities4[takes]),0)</f>
        <v>0.73529411764705888</v>
      </c>
      <c r="E18" s="13">
        <f>IF(DruidAbilities4[[#This Row],[takes]]&gt;0,DruidAbilities4[[#This Row],[wins]]/DruidAbilities4[[#This Row],[takes]],0)</f>
        <v>0.24</v>
      </c>
      <c r="F18" s="20"/>
      <c r="G18" s="20"/>
      <c r="H18" s="20"/>
      <c r="I18" s="22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5</v>
      </c>
      <c r="M18" s="2">
        <f>COUNTIF(Scenario0[winner1-ability4],DruidAbilities4Scenario0[[#This Row],[ability]])+COUNTIF(Scenario0[winner2-ability4],DruidAbilities4Scenario0[[#This Row],[ability]])</f>
        <v>4</v>
      </c>
      <c r="N18" s="13">
        <f>IF(SUM(DruidAbilities4Scenario0[[#This Row],[takes]]) &gt; 0,DruidAbilities4Scenario0[[#This Row],[takes]]/SUM(DruidAbilities4Scenario0[takes]),0)</f>
        <v>0.55555555555555558</v>
      </c>
      <c r="O18" s="13">
        <f>IF(DruidAbilities4Scenario0[[#This Row],[takes]]&gt;0,DruidAbilities4Scenario0[[#This Row],[wins]]/DruidAbilities4Scenario0[[#This Row],[takes]],0)</f>
        <v>0.8</v>
      </c>
      <c r="P18" s="20"/>
      <c r="Q18" s="20"/>
      <c r="R18" s="20"/>
      <c r="S18" s="22"/>
      <c r="T18" s="20"/>
    </row>
    <row r="19" spans="1:20" x14ac:dyDescent="0.4">
      <c r="A19" s="2" t="s">
        <v>52</v>
      </c>
      <c r="B19" s="2">
        <f t="shared" ref="B19:B20" si="8">L19+L40+L61+L82+L103+L124</f>
        <v>17</v>
      </c>
      <c r="C19" s="2">
        <f t="shared" ref="C19:C20" si="9">M19+M40+M61+M82+M103+M124</f>
        <v>2</v>
      </c>
      <c r="D19" s="13">
        <f>IF(SUM(DruidAbilities4[[#This Row],[takes]]) &gt; 0,DruidAbilities4[[#This Row],[takes]]/SUM(DruidAbilities4[takes]),0)</f>
        <v>0.25</v>
      </c>
      <c r="E19" s="13">
        <f>IF(DruidAbilities4[[#This Row],[takes]]&gt;0,DruidAbilities4[[#This Row],[wins]]/DruidAbilities4[[#This Row],[takes]],0)</f>
        <v>0.11764705882352941</v>
      </c>
      <c r="F19" s="20"/>
      <c r="G19" s="20"/>
      <c r="H19" s="20"/>
      <c r="I19" s="22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4</v>
      </c>
      <c r="M19" s="2">
        <f>COUNTIF(Scenario0[winner1-ability4],DruidAbilities4Scenario0[[#This Row],[ability]])+COUNTIF(Scenario0[winner2-ability4],DruidAbilities4Scenario0[[#This Row],[ability]])</f>
        <v>2</v>
      </c>
      <c r="N19" s="13">
        <f>IF(SUM(DruidAbilities4Scenario0[[#This Row],[takes]]) &gt; 0,DruidAbilities4Scenario0[[#This Row],[takes]]/SUM(DruidAbilities4Scenario0[takes]),0)</f>
        <v>0.44444444444444442</v>
      </c>
      <c r="O19" s="13">
        <f>IF(DruidAbilities4Scenario0[[#This Row],[takes]]&gt;0,DruidAbilities4Scenario0[[#This Row],[wins]]/DruidAbilities4Scenario0[[#This Row],[takes]],0)</f>
        <v>0.5</v>
      </c>
      <c r="P19" s="20"/>
      <c r="Q19" s="20"/>
      <c r="R19" s="20"/>
      <c r="S19" s="22"/>
      <c r="T19" s="20"/>
    </row>
    <row r="20" spans="1:20" ht="15" thickBot="1" x14ac:dyDescent="0.45">
      <c r="A20" s="11" t="s">
        <v>129</v>
      </c>
      <c r="B20" s="2">
        <f t="shared" si="8"/>
        <v>1</v>
      </c>
      <c r="C20" s="2">
        <f t="shared" si="9"/>
        <v>1</v>
      </c>
      <c r="D20" s="30">
        <f>IF(SUM(DruidAbilities4[[#This Row],[takes]]) &gt; 0,DruidAbilities4[[#This Row],[takes]]/SUM(DruidAbilities4[takes]),0)</f>
        <v>1.4705882352941176E-2</v>
      </c>
      <c r="E20" s="30">
        <f>IF(DruidAbilities4[[#This Row],[takes]]&gt;0,DruidAbilities4[[#This Row],[wins]]/DruidAbilities4[[#This Row],[takes]],0)</f>
        <v>1</v>
      </c>
      <c r="F20" s="31"/>
      <c r="G20" s="31"/>
      <c r="H20" s="31"/>
      <c r="I20" s="32"/>
      <c r="K20" s="11" t="s">
        <v>129</v>
      </c>
      <c r="L20" s="29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9">
        <f>COUNTIF(Scenario0[winner1-ability4],DruidAbilities4Scenario0[[#This Row],[ability]])+COUNTIF(Scenario0[winner2-ability4],DruidAbilities4Scenario0[[#This Row],[ability]])</f>
        <v>0</v>
      </c>
      <c r="N20" s="30">
        <f>IF(SUM(DruidAbilities4Scenario0[[#This Row],[takes]]) &gt; 0,DruidAbilities4Scenario0[[#This Row],[takes]]/SUM(DruidAbilities4Scenario0[takes]),0)</f>
        <v>0</v>
      </c>
      <c r="O20" s="30">
        <f>IF(DruidAbilities4Scenario0[[#This Row],[takes]]&gt;0,DruidAbilities4Scenario0[[#This Row],[wins]]/DruidAbilities4Scenario0[[#This Row],[takes]],0)</f>
        <v>0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1" t="s">
        <v>393</v>
      </c>
      <c r="L22" s="42"/>
      <c r="M22" s="42"/>
      <c r="N22" s="42"/>
      <c r="O22" s="42"/>
      <c r="P22" s="42"/>
      <c r="Q22" s="42"/>
      <c r="R22" s="42"/>
      <c r="S22" s="43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166</v>
      </c>
      <c r="S23" s="22" t="s">
        <v>164</v>
      </c>
      <c r="T23" s="20"/>
    </row>
    <row r="24" spans="1:20" x14ac:dyDescent="0.4">
      <c r="K24" t="s">
        <v>49</v>
      </c>
      <c r="L24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52</v>
      </c>
      <c r="M24" s="20">
        <f>COUNTIF(Scenario1[winner1-ability1],DruidAbilities1Scenario1[[#This Row],[ability]])+COUNTIF(Scenario1[winner2-ability1],DruidAbilities1Scenario1[[#This Row],[ability]])</f>
        <v>17</v>
      </c>
      <c r="N24" s="21">
        <f>IF(SUM(DruidAbilities1Scenario1[[#This Row],[takes]]) &gt; 0,DruidAbilities1Scenario1[[#This Row],[takes]]/SUM(DruidAbilities1Scenario1[takes]),0)</f>
        <v>0.49523809523809526</v>
      </c>
      <c r="O24" s="21">
        <f>IF(DruidAbilities1Scenario1[[#This Row],[takes]]&gt;0,DruidAbilities1Scenario1[[#This Row],[wins]]/DruidAbilities1Scenario1[[#This Row],[takes]],0)</f>
        <v>0.32692307692307693</v>
      </c>
      <c r="P24" s="20"/>
      <c r="Q24" s="20">
        <v>1</v>
      </c>
      <c r="R24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34</v>
      </c>
      <c r="S24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93</v>
      </c>
      <c r="T24" s="20"/>
    </row>
    <row r="25" spans="1:20" x14ac:dyDescent="0.4">
      <c r="K25" t="s">
        <v>89</v>
      </c>
      <c r="L25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53</v>
      </c>
      <c r="M25" s="20">
        <f>COUNTIF(Scenario1[winner1-ability1],DruidAbilities1Scenario1[[#This Row],[ability]])+COUNTIF(Scenario1[winner2-ability1],DruidAbilities1Scenario1[[#This Row],[ability]])</f>
        <v>22</v>
      </c>
      <c r="N25" s="21">
        <f>IF(SUM(DruidAbilities1Scenario1[[#This Row],[takes]]) &gt; 0,DruidAbilities1Scenario1[[#This Row],[takes]]/SUM(DruidAbilities1Scenario1[takes]),0)</f>
        <v>0.50476190476190474</v>
      </c>
      <c r="O25" s="21">
        <f>IF(DruidAbilities1Scenario1[[#This Row],[takes]]&gt;0,DruidAbilities1Scenario1[[#This Row],[wins]]/DruidAbilities1Scenario1[[#This Row],[takes]],0)</f>
        <v>0.41509433962264153</v>
      </c>
      <c r="P25" s="20"/>
      <c r="Q25" s="20">
        <v>2</v>
      </c>
      <c r="R25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41</v>
      </c>
      <c r="S25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</v>
      </c>
      <c r="T25" s="20"/>
    </row>
    <row r="26" spans="1:20" x14ac:dyDescent="0.4">
      <c r="K26" t="s">
        <v>126</v>
      </c>
      <c r="L26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 s="20">
        <f>COUNTIF(Scenario1[winner1-ability1],DruidAbilities1Scenario1[[#This Row],[ability]])+COUNTIF(Scenario1[winner2-ability1],DruidAbilities1Scenario1[[#This Row],[ability]])</f>
        <v>0</v>
      </c>
      <c r="N26" s="21">
        <f>IF(SUM(DruidAbilities1Scenario1[[#This Row],[takes]]) &gt; 0,DruidAbilities1Scenario1[[#This Row],[takes]]/SUM(DruidAbilities1Scenario1[takes]),0)</f>
        <v>0</v>
      </c>
      <c r="O26" s="21">
        <f>IF(DruidAbilities1Scenario1[[#This Row],[takes]]&gt;0,DruidAbilities1Scenario1[[#This Row],[wins]]/DruidAbilities1Scenario1[[#This Row],[takes]],0)</f>
        <v>0</v>
      </c>
      <c r="P26" s="20"/>
      <c r="Q26" s="20">
        <v>3</v>
      </c>
      <c r="R26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30</v>
      </c>
      <c r="S26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3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</v>
      </c>
      <c r="M29" s="2">
        <f>COUNTIF(Scenario1[winner1-ability2],DruidAbilities2Scenario1[[#This Row],[ability]])+COUNTIF(Scenario1[winner2-ability2],DruidAbilities2Scenario1[[#This Row],[ability]])</f>
        <v>1</v>
      </c>
      <c r="N29" s="13">
        <f>IF(SUM(DruidAbilities2Scenario1[[#This Row],[takes]]) &gt; 0,DruidAbilities2Scenario1[[#This Row],[takes]]/SUM(DruidAbilities2Scenario1[takes]),0)</f>
        <v>7.407407407407407E-2</v>
      </c>
      <c r="O29" s="13">
        <f>IF(DruidAbilities2Scenario1[[#This Row],[takes]]&gt;0,DruidAbilities2Scenario1[[#This Row],[wins]]/DruidAbilities2Scenario1[[#This Row],[takes]],0)</f>
        <v>0.5</v>
      </c>
      <c r="P29" s="20"/>
      <c r="Q29" s="20"/>
      <c r="R29" s="20"/>
      <c r="S29" s="22"/>
      <c r="T29" s="20"/>
    </row>
    <row r="30" spans="1:20" x14ac:dyDescent="0.4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17</v>
      </c>
      <c r="M30" s="2">
        <f>COUNTIF(Scenario1[winner1-ability2],DruidAbilities2Scenario1[[#This Row],[ability]])+COUNTIF(Scenario1[winner2-ability2],DruidAbilities2Scenario1[[#This Row],[ability]])</f>
        <v>4</v>
      </c>
      <c r="N30" s="21">
        <f>IF(SUM(DruidAbilities2Scenario1[[#This Row],[takes]]) &gt; 0,DruidAbilities2Scenario1[[#This Row],[takes]]/SUM(DruidAbilities2Scenario1[takes]),0)</f>
        <v>0.62962962962962965</v>
      </c>
      <c r="O30" s="21">
        <f>IF(DruidAbilities2Scenario1[[#This Row],[takes]]&gt;0,DruidAbilities2Scenario1[[#This Row],[wins]]/DruidAbilities2Scenario1[[#This Row],[takes]],0)</f>
        <v>0.23529411764705882</v>
      </c>
      <c r="P30" s="20"/>
      <c r="Q30" s="20"/>
      <c r="R30" s="20"/>
      <c r="S30" s="22"/>
      <c r="T30" s="20"/>
    </row>
    <row r="31" spans="1:20" x14ac:dyDescent="0.4">
      <c r="K31" s="11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8</v>
      </c>
      <c r="M31" s="2">
        <f>COUNTIF(Scenario1[winner1-ability2],DruidAbilities2Scenario1[[#This Row],[ability]])+COUNTIF(Scenario1[winner2-ability2],DruidAbilities2Scenario1[[#This Row],[ability]])</f>
        <v>4</v>
      </c>
      <c r="N31" s="14">
        <f>IF(SUM(DruidAbilities2Scenario1[[#This Row],[takes]]) &gt; 0,DruidAbilities2Scenario1[[#This Row],[takes]]/SUM(DruidAbilities2Scenario1[takes]),0)</f>
        <v>0.29629629629629628</v>
      </c>
      <c r="O31" s="14">
        <f>IF(DruidAbilities2Scenario1[[#This Row],[takes]]&gt;0,DruidAbilities2Scenario1[[#This Row],[wins]]/DruidAbilities2Scenario1[[#This Row],[takes]],0)</f>
        <v>0.5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4" s="1">
        <f>COUNTIF(Scenario1[winner1-ability3],DruidAbilities3Scenario1[[#This Row],[ability]])+COUNTIF(Scenario1[winner2-ability3],DruidAbilities3Scenario1[[#This Row],[ability]])</f>
        <v>2</v>
      </c>
      <c r="N34" s="15">
        <f>IF(SUM(DruidAbilities3Scenario1[[#This Row],[takes]]) &gt; 0,DruidAbilities3Scenario1[[#This Row],[takes]]/SUM(DruidAbilities3Scenario1[takes]),0)</f>
        <v>0.42857142857142855</v>
      </c>
      <c r="O34" s="15">
        <f>IF(DruidAbilities3Scenario1[[#This Row],[takes]]&gt;0,DruidAbilities3Scenario1[[#This Row],[wins]]/DruidAbilities3Scenario1[[#This Row],[takes]],0)</f>
        <v>0.66666666666666663</v>
      </c>
      <c r="P34" s="20"/>
      <c r="Q34" s="20"/>
      <c r="R34" s="20"/>
      <c r="S34" s="22"/>
      <c r="T34" s="20"/>
    </row>
    <row r="35" spans="11:20" x14ac:dyDescent="0.4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</v>
      </c>
      <c r="M35" s="2">
        <f>COUNTIF(Scenario1[winner1-ability3],DruidAbilities3Scenario1[[#This Row],[ability]])+COUNTIF(Scenario1[winner2-ability3],DruidAbilities3Scenario1[[#This Row],[ability]])</f>
        <v>0</v>
      </c>
      <c r="N35" s="13">
        <f>IF(SUM(DruidAbilities3Scenario1[[#This Row],[takes]]) &gt; 0,DruidAbilities3Scenario1[[#This Row],[takes]]/SUM(DruidAbilities3Scenario1[takes]),0)</f>
        <v>0.14285714285714285</v>
      </c>
      <c r="O35" s="13">
        <f>IF(DruidAbilities3Scenario1[[#This Row],[takes]]&gt;0,DruidAbilities3Scenario1[[#This Row],[wins]]/DruidAbilities3Scenario1[[#This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6" s="1">
        <f>COUNTIF(Scenario1[winner1-ability3],DruidAbilities3Scenario1[[#This Row],[ability]])+COUNTIF(Scenario1[winner2-ability3],DruidAbilities3Scenario1[[#This Row],[ability]])</f>
        <v>1</v>
      </c>
      <c r="N36" s="16">
        <f>IF(SUM(DruidAbilities3Scenario1[[#This Row],[takes]]) &gt; 0,DruidAbilities3Scenario1[[#This Row],[takes]]/SUM(DruidAbilities3Scenario1[takes]),0)</f>
        <v>0.42857142857142855</v>
      </c>
      <c r="O36" s="16">
        <f>IF(DruidAbilities3Scenario1[[#This Row],[takes]]&gt;0,DruidAbilities3Scenario1[[#This Row],[wins]]/DruidAbilities3Scenario1[[#This Row],[takes]],0)</f>
        <v>0.33333333333333331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39" s="2">
        <f>COUNTIF(Scenario1[winner1-ability4],DruidAbilities4Scenario1[[#This Row],[ability]])+COUNTIF(Scenario1[winner2-ability4],DruidAbilities4Scenario1[[#This Row],[ability]])</f>
        <v>0</v>
      </c>
      <c r="N39" s="13">
        <f>IF(SUM(DruidAbilities4Scenario1[[#This Row],[takes]]) &gt; 0,DruidAbilities4Scenario1[[#This Row],[takes]]/SUM(DruidAbilities4Scenario1[takes]),0)</f>
        <v>0</v>
      </c>
      <c r="O39" s="13">
        <f>IF(DruidAbilities4Scenario1[[#This Row],[takes]]&gt;0,DruidAbilities4Scenario1[[#This Row],[wins]]/DruidAbilities4Scenario1[[#This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3</v>
      </c>
      <c r="M40" s="2">
        <f>COUNTIF(Scenario1[winner1-ability4],DruidAbilities4Scenario1[[#This Row],[ability]])+COUNTIF(Scenario1[winner2-ability4],DruidAbilities4Scenario1[[#This Row],[ability]])</f>
        <v>0</v>
      </c>
      <c r="N40" s="13">
        <f>IF(SUM(DruidAbilities4Scenario1[[#This Row],[takes]]) &gt; 0,DruidAbilities4Scenario1[[#This Row],[takes]]/SUM(DruidAbilities4Scenario1[takes]),0)</f>
        <v>1</v>
      </c>
      <c r="O40" s="13">
        <f>IF(DruidAbilities4Scenario1[[#This Row],[takes]]&gt;0,DruidAbilities4Scenario1[[#This Row],[wins]]/DruidAbilities4Scenario1[[#This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129</v>
      </c>
      <c r="L41" s="29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9">
        <f>COUNTIF(Scenario1[winner1-ability4],DruidAbilities4Scenario1[[#This Row],[ability]])+COUNTIF(Scenario1[winner2-ability4],DruidAbilities4Scenario1[[#This Row],[ability]])</f>
        <v>0</v>
      </c>
      <c r="N41" s="30">
        <f>IF(SUM(DruidAbilities4Scenario1[[#This Row],[takes]]) &gt; 0,DruidAbilities4Scenario1[[#This Row],[takes]]/SUM(DruidAbilities4Scenario1[takes]),0)</f>
        <v>0</v>
      </c>
      <c r="O41" s="30">
        <f>IF(DruidAbilities4Scenario1[[#This Row],[takes]]&gt;0,DruidAbilities4Scenario1[[#This Row],[wins]]/DruidAbilities4Scenario1[[#This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1" t="s">
        <v>394</v>
      </c>
      <c r="L43" s="42"/>
      <c r="M43" s="42"/>
      <c r="N43" s="42"/>
      <c r="O43" s="42"/>
      <c r="P43" s="42"/>
      <c r="Q43" s="42"/>
      <c r="R43" s="42"/>
      <c r="S43" s="43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166</v>
      </c>
      <c r="S44" s="22" t="s">
        <v>164</v>
      </c>
    </row>
    <row r="45" spans="11:20" x14ac:dyDescent="0.4">
      <c r="K45" t="s">
        <v>49</v>
      </c>
      <c r="L45" s="20">
        <f>COUNTIF(Scenario2[winner1-ability1],DruidAbilities1Scenario2[[#This Row],[ability]])+COUNTIF(Scenario2[loser1-ability1],DruidAbilities1Scenario2[[#This Row],[ability]])</f>
        <v>4</v>
      </c>
      <c r="M45" s="20">
        <f>COUNTIF(Scenario2[winner1-ability1],DruidAbilities1Scenario2[[#This Row],[ability]])</f>
        <v>0</v>
      </c>
      <c r="N45" s="21">
        <f>IF(SUM(DruidAbilities1Scenario2[[#This Row],[takes]]) &gt; 0,DruidAbilities1Scenario2[[#This Row],[takes]]/SUM(DruidAbilities1Scenario2[takes]),0)</f>
        <v>0.2857142857142857</v>
      </c>
      <c r="O45" s="21">
        <f>IF(DruidAbilities1Scenario2[[#This Row],[takes]]&gt;0,DruidAbilities1Scenario2[[#This Row],[wins]]/DruidAbilities1Scenario2[[#This Row],[takes]],0)</f>
        <v>0</v>
      </c>
      <c r="P45" s="20"/>
      <c r="Q45" s="20">
        <v>1</v>
      </c>
      <c r="R45" s="20">
        <f>COUNTIFS(Scenario2[winner1],"druid",Scenario2[winner1-pw],DruidEquipScenario2[[#This Row],[level]])+COUNTIFS(Scenario2[loser1],"druid",Scenario2[loser1-pw],DruidEquipScenario2[[#This Row],[level]])</f>
        <v>5</v>
      </c>
      <c r="S45" s="22">
        <f>COUNTIFS(Scenario2[winner1],"druid",Scenario2[winner1-cp],DruidEquipScenario2[[#This Row],[level]])+COUNTIFS(Scenario2[loser1],"druid",Scenario2[loser1-cp],DruidEquipScenario2[[#This Row],[level]])</f>
        <v>11</v>
      </c>
    </row>
    <row r="46" spans="11:20" x14ac:dyDescent="0.4">
      <c r="K46" t="s">
        <v>89</v>
      </c>
      <c r="L46" s="20">
        <f>COUNTIF(Scenario2[winner1-ability1],DruidAbilities1Scenario2[[#This Row],[ability]])+COUNTIF(Scenario2[loser1-ability1],DruidAbilities1Scenario2[[#This Row],[ability]])</f>
        <v>6</v>
      </c>
      <c r="M46" s="20">
        <f>COUNTIF(Scenario2[winner1-ability1],DruidAbilities1Scenario2[[#This Row],[ability]])</f>
        <v>3</v>
      </c>
      <c r="N46" s="21">
        <f>IF(SUM(DruidAbilities1Scenario2[[#This Row],[takes]]) &gt; 0,DruidAbilities1Scenario2[[#This Row],[takes]]/SUM(DruidAbilities1Scenario2[takes]),0)</f>
        <v>0.42857142857142855</v>
      </c>
      <c r="O46" s="21">
        <f>IF(DruidAbilities1Scenario2[[#This Row],[takes]]&gt;0,DruidAbilities1Scenario2[[#This Row],[wins]]/DruidAbilities1Scenario2[[#This Row],[takes]],0)</f>
        <v>0.5</v>
      </c>
      <c r="P46" s="20"/>
      <c r="Q46" s="20">
        <v>2</v>
      </c>
      <c r="R46" s="20">
        <f>COUNTIFS(Scenario2[winner1],"druid",Scenario2[winner1-pw],DruidEquipScenario2[[#This Row],[level]])+COUNTIFS(Scenario2[loser1],"druid",Scenario2[loser1-pw],DruidEquipScenario2[[#This Row],[level]])</f>
        <v>8</v>
      </c>
      <c r="S46" s="22">
        <f>COUNTIFS(Scenario2[winner1],"druid",Scenario2[winner1-cp],DruidEquipScenario2[[#This Row],[level]])+COUNTIFS(Scenario2[loser1],"druid",Scenario2[loser1-cp],DruidEquipScenario2[[#This Row],[level]])</f>
        <v>1</v>
      </c>
    </row>
    <row r="47" spans="11:20" x14ac:dyDescent="0.4">
      <c r="K47" t="s">
        <v>126</v>
      </c>
      <c r="L47" s="20">
        <f>COUNTIF(Scenario2[winner1-ability1],DruidAbilities1Scenario2[[#This Row],[ability]])+COUNTIF(Scenario2[loser1-ability1],DruidAbilities1Scenario2[[#This Row],[ability]])</f>
        <v>4</v>
      </c>
      <c r="M47" s="20">
        <f>COUNTIF(Scenario2[winner1-ability1],DruidAbilities1Scenario2[[#This Row],[ability]])</f>
        <v>3</v>
      </c>
      <c r="N47" s="21">
        <f>IF(SUM(DruidAbilities1Scenario2[[#This Row],[takes]]) &gt; 0,DruidAbilities1Scenario2[[#This Row],[takes]]/SUM(DruidAbilities1Scenario2[takes]),0)</f>
        <v>0.2857142857142857</v>
      </c>
      <c r="O47" s="21">
        <f>IF(DruidAbilities1Scenario2[[#This Row],[takes]]&gt;0,DruidAbilities1Scenario2[[#This Row],[wins]]/DruidAbilities1Scenario2[[#This Row],[takes]],0)</f>
        <v>0.75</v>
      </c>
      <c r="P47" s="20"/>
      <c r="Q47" s="20">
        <v>3</v>
      </c>
      <c r="R47" s="20">
        <f>COUNTIFS(Scenario2[winner1],"druid",Scenario2[winner1-pw],DruidEquipScenario2[[#This Row],[level]])+COUNTIFS(Scenario2[loser1],"druid",Scenario2[loser1-pw],DruidEquipScenario2[[#This Row],[level]])</f>
        <v>1</v>
      </c>
      <c r="S47" s="22">
        <f>COUNTIFS(Scenario2[winner1],"druid",Scenario2[winner1-cp],DruidEquipScenario2[[#This Row],[level]])+COUNTIFS(Scenario2[loser1],"druid",Scenario2[loser1-cp],DruidEquipScenario2[[#This Row],[level]])</f>
        <v>2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10</v>
      </c>
      <c r="M50" s="2">
        <f>COUNTIF(Scenario2[winner1-ability2],DruidAbilities2Scenario2[[#This Row],[ability]])</f>
        <v>5</v>
      </c>
      <c r="N50" s="13">
        <f>IF(SUM(DruidAbilities2Scenario2[[#This Row],[takes]]) &gt; 0,DruidAbilities2Scenario2[[#This Row],[takes]]/SUM(DruidAbilities2Scenario2[takes]),0)</f>
        <v>0.7142857142857143</v>
      </c>
      <c r="O50" s="13">
        <f>IF(DruidAbilities2Scenario2[[#This Row],[takes]]&gt;0,DruidAbilities2Scenario2[[#This Row],[wins]]/DruidAbilities2Scenario2[[#This Row],[takes]],0)</f>
        <v>0.5</v>
      </c>
      <c r="P50" s="20"/>
      <c r="Q50" s="20"/>
      <c r="R50" s="20"/>
      <c r="S50" s="22"/>
      <c r="T50" s="20"/>
    </row>
    <row r="51" spans="11:20" x14ac:dyDescent="0.4">
      <c r="K51" t="s">
        <v>50</v>
      </c>
      <c r="L51" s="2">
        <f>COUNTIF(Scenario2[winner1-ability2],DruidAbilities2Scenario2[[#This Row],[ability]])+COUNTIF(Scenario2[loser1-ability2],DruidAbilities2Scenario2[[#This Row],[ability]])</f>
        <v>4</v>
      </c>
      <c r="M51" s="2">
        <f>COUNTIF(Scenario2[winner1-ability2],DruidAbilities2Scenario2[[#This Row],[ability]])</f>
        <v>1</v>
      </c>
      <c r="N51" s="21">
        <f>IF(SUM(DruidAbilities2Scenario2[[#This Row],[takes]]) &gt; 0,DruidAbilities2Scenario2[[#This Row],[takes]]/SUM(DruidAbilities2Scenario2[takes]),0)</f>
        <v>0.2857142857142857</v>
      </c>
      <c r="O51" s="21">
        <f>IF(DruidAbilities2Scenario2[[#This Row],[takes]]&gt;0,DruidAbilities2Scenario2[[#This Row],[wins]]/DruidAbilities2Scenario2[[#This Row],[takes]],0)</f>
        <v>0.25</v>
      </c>
      <c r="P51" s="20"/>
      <c r="Q51" s="20"/>
      <c r="R51" s="20"/>
      <c r="S51" s="22"/>
      <c r="T51" s="20"/>
    </row>
    <row r="52" spans="11:20" x14ac:dyDescent="0.4">
      <c r="K52" s="11" t="s">
        <v>84</v>
      </c>
      <c r="L52" s="2">
        <f>COUNTIF(Scenario2[winner1-ability2],DruidAbilities2Scenario2[[#This Row],[ability]])+COUNTIF(Scenario2[loser1-ability2],DruidAbilities2Scenario2[[#This Row],[ability]])</f>
        <v>0</v>
      </c>
      <c r="M52" s="2">
        <f>COUNTIF(Scenario2[winner1-ability2],DruidAbilities2Scenario2[[#This Row],[ability]])</f>
        <v>0</v>
      </c>
      <c r="N52" s="14">
        <f>IF(SUM(DruidAbilities2Scenario2[[#This Row],[takes]]) &gt; 0,DruidAbilities2Scenario2[[#This Row],[takes]]/SUM(DruidAbilities2Scenario2[takes]),0)</f>
        <v>0</v>
      </c>
      <c r="O52" s="14">
        <f>IF(DruidAbilities2Scenario2[[#This Row],[takes]]&gt;0,DruidAbilities2Scenario2[[#This Row],[wins]]/DruidAbilities2Scenario2[[#This Row],[takes]],0)</f>
        <v>0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3</v>
      </c>
      <c r="M55" s="1">
        <f>COUNTIF(Scenario2[winner1-ability3],DruidAbilities3Scenario2[[#This Row],[ability]])</f>
        <v>2</v>
      </c>
      <c r="N55" s="15">
        <f>IF(SUM(DruidAbilities3Scenario2[[#This Row],[takes]]) &gt; 0,DruidAbilities3Scenario2[[#This Row],[takes]]/SUM(DruidAbilities3Scenario2[takes]),0)</f>
        <v>0.25</v>
      </c>
      <c r="O55" s="15">
        <f>IF(DruidAbilities3Scenario2[[#This Row],[takes]]&gt;0,DruidAbilities3Scenario2[[#This Row],[wins]]/DruidAbilities3Scenario2[[#This Row],[takes]],0)</f>
        <v>0.66666666666666663</v>
      </c>
      <c r="P55" s="20"/>
      <c r="Q55" s="20"/>
      <c r="R55" s="20"/>
      <c r="S55" s="22"/>
      <c r="T55" s="20"/>
    </row>
    <row r="56" spans="11:20" x14ac:dyDescent="0.4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3</v>
      </c>
      <c r="M56" s="2">
        <f>COUNTIF(Scenario2[winner1-ability3],DruidAbilities3Scenario2[[#This Row],[ability]])</f>
        <v>0</v>
      </c>
      <c r="N56" s="13">
        <f>IF(SUM(DruidAbilities3Scenario2[[#This Row],[takes]]) &gt; 0,DruidAbilities3Scenario2[[#This Row],[takes]]/SUM(DruidAbilities3Scenario2[takes]),0)</f>
        <v>0.25</v>
      </c>
      <c r="O56" s="13">
        <f>IF(DruidAbilities3Scenario2[[#This Row],[takes]]&gt;0,DruidAbilities3Scenario2[[#This Row],[wins]]/DruidAbilities3Scenario2[[#This Row],[takes]],0)</f>
        <v>0</v>
      </c>
      <c r="P56" s="20"/>
      <c r="Q56" s="20"/>
      <c r="R56" s="20"/>
      <c r="S56" s="22"/>
      <c r="T56" s="20"/>
    </row>
    <row r="57" spans="11:20" x14ac:dyDescent="0.4">
      <c r="K57" s="12" t="s">
        <v>90</v>
      </c>
      <c r="L57" s="1">
        <f>COUNTIF(Scenario2[winner1-ability3],DruidAbilities3Scenario2[[#This Row],[ability]])+COUNTIF(Scenario2[loser1-ability3],DruidAbilities3Scenario2[[#This Row],[ability]])</f>
        <v>6</v>
      </c>
      <c r="M57" s="1">
        <f>COUNTIF(Scenario2[winner1-ability3],DruidAbilities3Scenario2[[#This Row],[ability]])</f>
        <v>2</v>
      </c>
      <c r="N57" s="16">
        <f>IF(SUM(DruidAbilities3Scenario2[[#This Row],[takes]]) &gt; 0,DruidAbilities3Scenario2[[#This Row],[takes]]/SUM(DruidAbilities3Scenario2[takes]),0)</f>
        <v>0.5</v>
      </c>
      <c r="O57" s="16">
        <f>IF(DruidAbilities3Scenario2[[#This Row],[takes]]&gt;0,DruidAbilities3Scenario2[[#This Row],[wins]]/DruidAbilities3Scenario2[[#This Row],[takes]],0)</f>
        <v>0.33333333333333331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2</v>
      </c>
      <c r="M60" s="2">
        <f>COUNTIF(Scenario2[winner1-ability4],DruidAbilities4Scenario2[[#This Row],[ability]])</f>
        <v>2</v>
      </c>
      <c r="N60" s="13">
        <f>IF(SUM(DruidAbilities4Scenario2[[#This Row],[takes]]) &gt; 0,DruidAbilities4Scenario2[[#This Row],[takes]]/SUM(DruidAbilities4Scenario2[takes]),0)</f>
        <v>0.25</v>
      </c>
      <c r="O60" s="13">
        <f>IF(DruidAbilities4Scenario2[[#This Row],[takes]]&gt;0,DruidAbilities4Scenario2[[#This Row],[wins]]/DruidAbilities4Scenario2[[#This Row],[takes]],0)</f>
        <v>1</v>
      </c>
      <c r="P60" s="20"/>
      <c r="Q60" s="20"/>
      <c r="R60" s="20"/>
      <c r="S60" s="22"/>
      <c r="T60" s="20"/>
    </row>
    <row r="61" spans="11:20" x14ac:dyDescent="0.4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6</v>
      </c>
      <c r="M61" s="2">
        <f>COUNTIF(Scenario2[winner1-ability4],DruidAbilities4Scenario2[[#This Row],[ability]])</f>
        <v>0</v>
      </c>
      <c r="N61" s="13">
        <f>IF(SUM(DruidAbilities4Scenario2[[#This Row],[takes]]) &gt; 0,DruidAbilities4Scenario2[[#This Row],[takes]]/SUM(DruidAbilities4Scenario2[takes]),0)</f>
        <v>0.75</v>
      </c>
      <c r="O61" s="13">
        <f>IF(DruidAbilities4Scenario2[[#This Row],[takes]]&gt;0,DruidAbilities4Scenario2[[#This Row],[wins]]/DruidAbilities4Scenario2[[#This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129</v>
      </c>
      <c r="L62" s="29">
        <f>COUNTIF(Scenario2[winner1-ability4],DruidAbilities4Scenario2[[#This Row],[ability]])+COUNTIF(Scenario2[loser1-ability4],DruidAbilities4Scenario2[[#This Row],[ability]])</f>
        <v>0</v>
      </c>
      <c r="M62" s="29">
        <f>COUNTIF(Scenario2[winner1-ability4],DruidAbilities4Scenario2[[#This Row],[ability]])</f>
        <v>0</v>
      </c>
      <c r="N62" s="30">
        <f>IF(SUM(DruidAbilities4Scenario2[[#This Row],[takes]]) &gt; 0,DruidAbilities4Scenario2[[#This Row],[takes]]/SUM(DruidAbilities4Scenario2[takes]),0)</f>
        <v>0</v>
      </c>
      <c r="O62" s="30">
        <f>IF(DruidAbilities4Scenario2[[#This Row],[takes]]&gt;0,DruidAbilities4Scenario2[[#This Row],[wins]]/DruidAbilities4Scenario2[[#This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1" t="s">
        <v>686</v>
      </c>
      <c r="L64" s="42"/>
      <c r="M64" s="42"/>
      <c r="N64" s="42"/>
      <c r="O64" s="42"/>
      <c r="P64" s="42"/>
      <c r="Q64" s="42"/>
      <c r="R64" s="42"/>
      <c r="S64" s="43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166</v>
      </c>
      <c r="S65" s="22" t="s">
        <v>164</v>
      </c>
    </row>
    <row r="66" spans="11:19" x14ac:dyDescent="0.4">
      <c r="K66" t="s">
        <v>49</v>
      </c>
      <c r="L66" s="20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6" s="20">
        <f>COUNTIF(Scenario3[winner1-ability1],DruidAbilities1Scenario3[[#This Row],[ability]])</f>
        <v>0</v>
      </c>
      <c r="N66" s="21">
        <f>IF(SUM(DruidAbilities1Scenario3[[#This Row],[takes]]) &gt; 0,DruidAbilities1Scenario3[[#This Row],[takes]]/SUM(DruidAbilities1Scenario3[takes]),0)</f>
        <v>4.7619047619047616E-2</v>
      </c>
      <c r="O66" s="21">
        <f>IF(DruidAbilities1Scenario3[[#This Row],[takes]]&gt;0,DruidAbilities1Scenario3[[#This Row],[wins]]/DruidAbilities1Scenario3[[#This Row],[takes]],0)</f>
        <v>0</v>
      </c>
      <c r="P66" s="20"/>
      <c r="Q66" s="20">
        <v>1</v>
      </c>
      <c r="R66" s="20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2</v>
      </c>
      <c r="S66" s="22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7" spans="11:19" x14ac:dyDescent="0.4">
      <c r="K67" t="s">
        <v>89</v>
      </c>
      <c r="L67" s="20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7" s="20">
        <f>COUNTIF(Scenario3[winner1-ability1],DruidAbilities1Scenario3[[#This Row],[ability]])</f>
        <v>0</v>
      </c>
      <c r="N67" s="21">
        <f>IF(SUM(DruidAbilities1Scenario3[[#This Row],[takes]]) &gt; 0,DruidAbilities1Scenario3[[#This Row],[takes]]/SUM(DruidAbilities1Scenario3[takes]),0)</f>
        <v>4.7619047619047616E-2</v>
      </c>
      <c r="O67" s="21">
        <f>IF(DruidAbilities1Scenario3[[#This Row],[takes]]&gt;0,DruidAbilities1Scenario3[[#This Row],[wins]]/DruidAbilities1Scenario3[[#This Row],[takes]],0)</f>
        <v>0</v>
      </c>
      <c r="P67" s="20"/>
      <c r="Q67" s="20">
        <v>2</v>
      </c>
      <c r="R67" s="20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2</v>
      </c>
      <c r="S67" s="22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5</v>
      </c>
    </row>
    <row r="68" spans="11:19" x14ac:dyDescent="0.4">
      <c r="K68" t="s">
        <v>126</v>
      </c>
      <c r="L68" s="20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19</v>
      </c>
      <c r="M68" s="20">
        <f>COUNTIF(Scenario3[winner1-ability1],DruidAbilities1Scenario3[[#This Row],[ability]])</f>
        <v>6</v>
      </c>
      <c r="N68" s="21">
        <f>IF(SUM(DruidAbilities1Scenario3[[#This Row],[takes]]) &gt; 0,DruidAbilities1Scenario3[[#This Row],[takes]]/SUM(DruidAbilities1Scenario3[takes]),0)</f>
        <v>0.90476190476190477</v>
      </c>
      <c r="O68" s="21">
        <f>IF(DruidAbilities1Scenario3[[#This Row],[takes]]&gt;0,DruidAbilities1Scenario3[[#This Row],[wins]]/DruidAbilities1Scenario3[[#This Row],[takes]],0)</f>
        <v>0.31578947368421051</v>
      </c>
      <c r="P68" s="20"/>
      <c r="Q68" s="20">
        <v>3</v>
      </c>
      <c r="R68" s="20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17</v>
      </c>
      <c r="S68" s="22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18</v>
      </c>
      <c r="M71" s="2">
        <f>COUNTIF(Scenario3[winner1-ability2],DruidAbilities2Scenario3[[#This Row],[ability]])</f>
        <v>5</v>
      </c>
      <c r="N71" s="13">
        <f>IF(SUM(DruidAbilities2Scenario3[[#This Row],[takes]]) &gt; 0,DruidAbilities2Scenario3[[#This Row],[takes]]/SUM(DruidAbilities2Scenario3[takes]),0)</f>
        <v>0.8571428571428571</v>
      </c>
      <c r="O71" s="13">
        <f>IF(DruidAbilities2Scenario3[[#This Row],[takes]]&gt;0,DruidAbilities2Scenario3[[#This Row],[wins]]/DruidAbilities2Scenario3[[#This Row],[takes]],0)</f>
        <v>0.27777777777777779</v>
      </c>
      <c r="P71" s="20"/>
      <c r="Q71" s="20"/>
      <c r="R71" s="20"/>
      <c r="S71" s="22"/>
    </row>
    <row r="72" spans="11:19" x14ac:dyDescent="0.4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2</v>
      </c>
      <c r="M72" s="2">
        <f>COUNTIF(Scenario3[winner1-ability2],DruidAbilities2Scenario3[[#This Row],[ability]])</f>
        <v>1</v>
      </c>
      <c r="N72" s="21">
        <f>IF(SUM(DruidAbilities2Scenario3[[#This Row],[takes]]) &gt; 0,DruidAbilities2Scenario3[[#This Row],[takes]]/SUM(DruidAbilities2Scenario3[takes]),0)</f>
        <v>9.5238095238095233E-2</v>
      </c>
      <c r="O72" s="21">
        <f>IF(DruidAbilities2Scenario3[[#This Row],[takes]]&gt;0,DruidAbilities2Scenario3[[#This Row],[wins]]/DruidAbilities2Scenario3[[#This Row],[takes]],0)</f>
        <v>0.5</v>
      </c>
      <c r="P72" s="20"/>
      <c r="Q72" s="20"/>
      <c r="R72" s="20"/>
      <c r="S72" s="22"/>
    </row>
    <row r="73" spans="11:19" x14ac:dyDescent="0.4">
      <c r="K73" s="11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3" s="2">
        <f>COUNTIF(Scenario3[winner1-ability2],DruidAbilities2Scenario3[[#This Row],[ability]])</f>
        <v>0</v>
      </c>
      <c r="N73" s="14">
        <f>IF(SUM(DruidAbilities2Scenario3[[#This Row],[takes]]) &gt; 0,DruidAbilities2Scenario3[[#This Row],[takes]]/SUM(DruidAbilities2Scenario3[takes]),0)</f>
        <v>4.7619047619047616E-2</v>
      </c>
      <c r="O73" s="14">
        <f>IF(DruidAbilities2Scenario3[[#This Row],[takes]]&gt;0,DruidAbilities2Scenario3[[#This Row],[wins]]/DruidAbilities2Scenario3[[#This Row],[takes]],0)</f>
        <v>0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6" s="1">
        <f>COUNTIF(Scenario3[winner1-ability3],DruidAbilities3Scenario3[[#This Row],[ability]])</f>
        <v>1</v>
      </c>
      <c r="N76" s="15">
        <f>IF(SUM(DruidAbilities3Scenario3[[#This Row],[takes]]) &gt; 0,DruidAbilities3Scenario3[[#This Row],[takes]]/SUM(DruidAbilities3Scenario3[takes]),0)</f>
        <v>0.35</v>
      </c>
      <c r="O76" s="15">
        <f>IF(DruidAbilities3Scenario3[[#This Row],[takes]]&gt;0,DruidAbilities3Scenario3[[#This Row],[wins]]/DruidAbilities3Scenario3[[#This Row],[takes]],0)</f>
        <v>0.14285714285714285</v>
      </c>
      <c r="P76" s="20"/>
      <c r="Q76" s="20"/>
      <c r="R76" s="20"/>
      <c r="S76" s="22"/>
    </row>
    <row r="77" spans="11:19" x14ac:dyDescent="0.4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8</v>
      </c>
      <c r="M77" s="2">
        <f>COUNTIF(Scenario3[winner1-ability3],DruidAbilities3Scenario3[[#This Row],[ability]])</f>
        <v>3</v>
      </c>
      <c r="N77" s="13">
        <f>IF(SUM(DruidAbilities3Scenario3[[#This Row],[takes]]) &gt; 0,DruidAbilities3Scenario3[[#This Row],[takes]]/SUM(DruidAbilities3Scenario3[takes]),0)</f>
        <v>0.4</v>
      </c>
      <c r="O77" s="13">
        <f>IF(DruidAbilities3Scenario3[[#This Row],[takes]]&gt;0,DruidAbilities3Scenario3[[#This Row],[wins]]/DruidAbilities3Scenario3[[#This Row],[takes]],0)</f>
        <v>0.375</v>
      </c>
      <c r="P77" s="20"/>
      <c r="Q77" s="20"/>
      <c r="R77" s="20"/>
      <c r="S77" s="22"/>
    </row>
    <row r="78" spans="11:19" x14ac:dyDescent="0.4">
      <c r="K78" s="12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5</v>
      </c>
      <c r="M78" s="1">
        <f>COUNTIF(Scenario3[winner1-ability3],DruidAbilities3Scenario3[[#This Row],[ability]])</f>
        <v>2</v>
      </c>
      <c r="N78" s="16">
        <f>IF(SUM(DruidAbilities3Scenario3[[#This Row],[takes]]) &gt; 0,DruidAbilities3Scenario3[[#This Row],[takes]]/SUM(DruidAbilities3Scenario3[takes]),0)</f>
        <v>0.25</v>
      </c>
      <c r="O78" s="16">
        <f>IF(DruidAbilities3Scenario3[[#This Row],[takes]]&gt;0,DruidAbilities3Scenario3[[#This Row],[wins]]/DruidAbilities3Scenario3[[#This Row],[takes]],0)</f>
        <v>0.4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16</v>
      </c>
      <c r="M81" s="2">
        <f>COUNTIF(Scenario3[winner1-ability4],DruidAbilities4Scenario3[[#This Row],[ability]])</f>
        <v>5</v>
      </c>
      <c r="N81" s="13">
        <f>IF(SUM(DruidAbilities4Scenario3[[#This Row],[takes]]) &gt; 0,DruidAbilities4Scenario3[[#This Row],[takes]]/SUM(DruidAbilities4Scenario3[takes]),0)</f>
        <v>0.94117647058823528</v>
      </c>
      <c r="O81" s="13">
        <f>IF(DruidAbilities4Scenario3[[#This Row],[takes]]&gt;0,DruidAbilities4Scenario3[[#This Row],[wins]]/DruidAbilities4Scenario3[[#This Row],[takes]],0)</f>
        <v>0.3125</v>
      </c>
      <c r="P81" s="20"/>
      <c r="Q81" s="20"/>
      <c r="R81" s="20"/>
      <c r="S81" s="22"/>
    </row>
    <row r="82" spans="11:19" x14ac:dyDescent="0.4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2" s="2">
        <f>COUNTIF(Scenario3[winner1-ability4],DruidAbilities4Scenario3[[#This Row],[ability]])</f>
        <v>0</v>
      </c>
      <c r="N82" s="13">
        <f>IF(SUM(DruidAbilities4Scenario3[[#This Row],[takes]]) &gt; 0,DruidAbilities4Scenario3[[#This Row],[takes]]/SUM(DruidAbilities4Scenario3[takes]),0)</f>
        <v>5.8823529411764705E-2</v>
      </c>
      <c r="O82" s="13">
        <f>IF(DruidAbilities4Scenario3[[#This Row],[takes]]&gt;0,DruidAbilities4Scenario3[[#This Row],[wins]]/DruidAbilities4Scenario3[[#This Row],[takes]],0)</f>
        <v>0</v>
      </c>
      <c r="P82" s="20"/>
      <c r="Q82" s="20"/>
      <c r="R82" s="20"/>
      <c r="S82" s="22"/>
    </row>
    <row r="83" spans="11:19" ht="15" thickBot="1" x14ac:dyDescent="0.45">
      <c r="K83" s="11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30">
        <f>IF(SUM(DruidAbilities4Scenario3[[#This Row],[takes]]) &gt; 0,DruidAbilities4Scenario3[[#This Row],[takes]]/SUM(DruidAbilities4Scenario3[takes]),0)</f>
        <v>0</v>
      </c>
      <c r="O83" s="30">
        <f>IF(DruidAbilities4Scenario3[[#This Row],[takes]]&gt;0,DruidAbilities4Scenario3[[#This Row],[wins]]/DruidAbilities4Scenario3[[#This Row],[takes]],0)</f>
        <v>0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1" t="s">
        <v>752</v>
      </c>
      <c r="L85" s="42"/>
      <c r="M85" s="42"/>
      <c r="N85" s="42"/>
      <c r="O85" s="42"/>
      <c r="P85" s="42"/>
      <c r="Q85" s="42"/>
      <c r="R85" s="42"/>
      <c r="S85" s="43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166</v>
      </c>
      <c r="S86" s="22" t="s">
        <v>164</v>
      </c>
    </row>
    <row r="87" spans="11:19" x14ac:dyDescent="0.4">
      <c r="K87" t="s">
        <v>49</v>
      </c>
      <c r="L87" s="20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 s="20">
        <f>COUNTIF(Scenario4[winner1-ability1],DruidAbilities1Scenario4[[#This Row],[ability]])</f>
        <v>0</v>
      </c>
      <c r="N87" s="21">
        <f>IF(SUM(DruidAbilities1Scenario4[[#This Row],[takes]]) &gt; 0,DruidAbilities1Scenario4[[#This Row],[takes]]/SUM(DruidAbilities1Scenario4[takes]),0)</f>
        <v>0</v>
      </c>
      <c r="O87" s="21">
        <f>IF(DruidAbilities1Scenario4[[#This Row],[takes]]&gt;0,DruidAbilities1Scenario4[[#This Row],[wins]]/DruidAbilities1Scenario4[[#This Row],[takes]],0)</f>
        <v>0</v>
      </c>
      <c r="P87" s="20"/>
      <c r="Q87" s="20">
        <v>1</v>
      </c>
      <c r="R87" s="20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10</v>
      </c>
      <c r="S87" s="22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</v>
      </c>
    </row>
    <row r="88" spans="11:19" x14ac:dyDescent="0.4">
      <c r="K88" t="s">
        <v>89</v>
      </c>
      <c r="L88" s="20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 s="20">
        <f>COUNTIF(Scenario4[winner1-ability1],DruidAbilities1Scenario4[[#This Row],[ability]])</f>
        <v>0</v>
      </c>
      <c r="N88" s="21">
        <f>IF(SUM(DruidAbilities1Scenario4[[#This Row],[takes]]) &gt; 0,DruidAbilities1Scenario4[[#This Row],[takes]]/SUM(DruidAbilities1Scenario4[takes]),0)</f>
        <v>0</v>
      </c>
      <c r="O88" s="21">
        <f>IF(DruidAbilities1Scenario4[[#This Row],[takes]]&gt;0,DruidAbilities1Scenario4[[#This Row],[wins]]/DruidAbilities1Scenario4[[#This Row],[takes]],0)</f>
        <v>0</v>
      </c>
      <c r="P88" s="20"/>
      <c r="Q88" s="20">
        <v>2</v>
      </c>
      <c r="R88" s="20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4</v>
      </c>
      <c r="S88" s="22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9</v>
      </c>
    </row>
    <row r="89" spans="11:19" x14ac:dyDescent="0.4">
      <c r="K89" t="s">
        <v>126</v>
      </c>
      <c r="L89" s="20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35</v>
      </c>
      <c r="M89" s="20">
        <f>COUNTIF(Scenario4[winner1-ability1],DruidAbilities1Scenario4[[#This Row],[ability]])</f>
        <v>2</v>
      </c>
      <c r="N89" s="21">
        <f>IF(SUM(DruidAbilities1Scenario4[[#This Row],[takes]]) &gt; 0,DruidAbilities1Scenario4[[#This Row],[takes]]/SUM(DruidAbilities1Scenario4[takes]),0)</f>
        <v>1</v>
      </c>
      <c r="O89" s="21">
        <f>IF(DruidAbilities1Scenario4[[#This Row],[takes]]&gt;0,DruidAbilities1Scenario4[[#This Row],[wins]]/DruidAbilities1Scenario4[[#This Row],[takes]],0)</f>
        <v>5.7142857142857141E-2</v>
      </c>
      <c r="P89" s="20"/>
      <c r="Q89" s="20">
        <v>3</v>
      </c>
      <c r="R89" s="20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21</v>
      </c>
      <c r="S89" s="22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24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22</v>
      </c>
      <c r="M92" s="2">
        <f>COUNTIF(Scenario4[winner1-ability2],DruidAbilities2Scenario4[[#This Row],[ability]])</f>
        <v>2</v>
      </c>
      <c r="N92" s="13">
        <f>IF(SUM(DruidAbilities2Scenario4[[#This Row],[takes]]) &gt; 0,DruidAbilities2Scenario4[[#This Row],[takes]]/SUM(DruidAbilities2Scenario4[takes]),0)</f>
        <v>0.6470588235294118</v>
      </c>
      <c r="O92" s="13">
        <f>IF(DruidAbilities2Scenario4[[#This Row],[takes]]&gt;0,DruidAbilities2Scenario4[[#This Row],[wins]]/DruidAbilities2Scenario4[[#This Row],[takes]],0)</f>
        <v>9.0909090909090912E-2</v>
      </c>
      <c r="P92" s="20"/>
      <c r="Q92" s="20"/>
      <c r="R92" s="20"/>
      <c r="S92" s="22"/>
    </row>
    <row r="93" spans="11:19" x14ac:dyDescent="0.4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21">
        <f>IF(SUM(DruidAbilities2Scenario4[[#This Row],[takes]]) &gt; 0,DruidAbilities2Scenario4[[#This Row],[takes]]/SUM(DruidAbilities2Scenario4[takes]),0)</f>
        <v>0</v>
      </c>
      <c r="O93" s="21">
        <f>IF(DruidAbilities2Scenario4[[#This Row],[takes]]&gt;0,DruidAbilities2Scenario4[[#This Row],[wins]]/DruidAbilities2Scenario4[[#This Row],[takes]],0)</f>
        <v>0</v>
      </c>
      <c r="P93" s="20"/>
      <c r="Q93" s="20"/>
      <c r="R93" s="20"/>
      <c r="S93" s="22"/>
    </row>
    <row r="94" spans="11:19" x14ac:dyDescent="0.4">
      <c r="K94" s="11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12</v>
      </c>
      <c r="M94" s="2">
        <f>COUNTIF(Scenario4[winner1-ability2],DruidAbilities2Scenario4[[#This Row],[ability]])</f>
        <v>0</v>
      </c>
      <c r="N94" s="14">
        <f>IF(SUM(DruidAbilities2Scenario4[[#This Row],[takes]]) &gt; 0,DruidAbilities2Scenario4[[#This Row],[takes]]/SUM(DruidAbilities2Scenario4[takes]),0)</f>
        <v>0.35294117647058826</v>
      </c>
      <c r="O94" s="14">
        <f>IF(DruidAbilities2Scenario4[[#This Row],[takes]]&gt;0,DruidAbilities2Scenario4[[#This Row],[wins]]/DruidAbilities2Scenario4[[#This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10</v>
      </c>
      <c r="M97" s="1">
        <f>COUNTIF(Scenario4[winner1-ability3],DruidAbilities3Scenario4[[#This Row],[ability]])</f>
        <v>0</v>
      </c>
      <c r="N97" s="15">
        <f>IF(SUM(DruidAbilities3Scenario4[[#This Row],[takes]]) &gt; 0,DruidAbilities3Scenario4[[#This Row],[takes]]/SUM(DruidAbilities3Scenario4[takes]),0)</f>
        <v>0.32258064516129031</v>
      </c>
      <c r="O97" s="15">
        <f>IF(DruidAbilities3Scenario4[[#This Row],[takes]]&gt;0,DruidAbilities3Scenario4[[#This Row],[wins]]/DruidAbilities3Scenario4[[#This Row],[takes]],0)</f>
        <v>0</v>
      </c>
      <c r="P97" s="20"/>
      <c r="Q97" s="20"/>
      <c r="R97" s="20"/>
      <c r="S97" s="22"/>
    </row>
    <row r="98" spans="11:19" x14ac:dyDescent="0.4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10</v>
      </c>
      <c r="M98" s="2">
        <f>COUNTIF(Scenario4[winner1-ability3],DruidAbilities3Scenario4[[#This Row],[ability]])</f>
        <v>2</v>
      </c>
      <c r="N98" s="13">
        <f>IF(SUM(DruidAbilities3Scenario4[[#This Row],[takes]]) &gt; 0,DruidAbilities3Scenario4[[#This Row],[takes]]/SUM(DruidAbilities3Scenario4[takes]),0)</f>
        <v>0.32258064516129031</v>
      </c>
      <c r="O98" s="13">
        <f>IF(DruidAbilities3Scenario4[[#This Row],[takes]]&gt;0,DruidAbilities3Scenario4[[#This Row],[wins]]/DruidAbilities3Scenario4[[#This Row],[takes]],0)</f>
        <v>0.2</v>
      </c>
      <c r="P98" s="20"/>
      <c r="Q98" s="20"/>
      <c r="R98" s="20"/>
      <c r="S98" s="22"/>
    </row>
    <row r="99" spans="11:19" x14ac:dyDescent="0.4">
      <c r="K99" s="12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11</v>
      </c>
      <c r="M99" s="1">
        <f>COUNTIF(Scenario4[winner1-ability3],DruidAbilities3Scenario4[[#This Row],[ability]])</f>
        <v>0</v>
      </c>
      <c r="N99" s="16">
        <f>IF(SUM(DruidAbilities3Scenario4[[#This Row],[takes]]) &gt; 0,DruidAbilities3Scenario4[[#This Row],[takes]]/SUM(DruidAbilities3Scenario4[takes]),0)</f>
        <v>0.35483870967741937</v>
      </c>
      <c r="O99" s="16">
        <f>IF(DruidAbilities3Scenario4[[#This Row],[takes]]&gt;0,DruidAbilities3Scenario4[[#This Row],[wins]]/DruidAbilities3Scenario4[[#This Row],[takes]],0)</f>
        <v>0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25</v>
      </c>
      <c r="M102" s="2">
        <f>COUNTIF(Scenario4[winner1-ability4],DruidAbilities4Scenario4[[#This Row],[ability]])</f>
        <v>1</v>
      </c>
      <c r="N102" s="13">
        <f>IF(SUM(DruidAbilities4Scenario4[[#This Row],[takes]]) &gt; 0,DruidAbilities4Scenario4[[#This Row],[takes]]/SUM(DruidAbilities4Scenario4[takes]),0)</f>
        <v>0.8928571428571429</v>
      </c>
      <c r="O102" s="13">
        <f>IF(DruidAbilities4Scenario4[[#This Row],[takes]]&gt;0,DruidAbilities4Scenario4[[#This Row],[wins]]/DruidAbilities4Scenario4[[#This Row],[takes]],0)</f>
        <v>0.04</v>
      </c>
      <c r="P102" s="20"/>
      <c r="Q102" s="20"/>
      <c r="R102" s="20"/>
      <c r="S102" s="22"/>
    </row>
    <row r="103" spans="11:19" x14ac:dyDescent="0.4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3</v>
      </c>
      <c r="M103" s="2">
        <f>COUNTIF(Scenario4[winner1-ability4],DruidAbilities4Scenario4[[#This Row],[ability]])</f>
        <v>0</v>
      </c>
      <c r="N103" s="13">
        <f>IF(SUM(DruidAbilities4Scenario4[[#This Row],[takes]]) &gt; 0,DruidAbilities4Scenario4[[#This Row],[takes]]/SUM(DruidAbilities4Scenario4[takes]),0)</f>
        <v>0.10714285714285714</v>
      </c>
      <c r="O103" s="13">
        <f>IF(DruidAbilities4Scenario4[[#This Row],[takes]]&gt;0,DruidAbilities4Scenario4[[#This Row],[wins]]/DruidAbilities4Scenario4[[#This Row],[takes]],0)</f>
        <v>0</v>
      </c>
      <c r="P103" s="20"/>
      <c r="Q103" s="20"/>
      <c r="R103" s="20"/>
      <c r="S103" s="22"/>
    </row>
    <row r="104" spans="11:19" ht="15" thickBot="1" x14ac:dyDescent="0.45">
      <c r="K104" s="11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30">
        <f>IF(SUM(DruidAbilities4Scenario4[[#This Row],[takes]]) &gt; 0,DruidAbilities4Scenario4[[#This Row],[takes]]/SUM(DruidAbilities4Scenario4[takes]),0)</f>
        <v>0</v>
      </c>
      <c r="O104" s="30">
        <f>IF(DruidAbilities4Scenario4[[#This Row],[takes]]&gt;0,DruidAbilities4Scenario4[[#This Row],[wins]]/DruidAbilities4Scenario4[[#This Row],[takes]],0)</f>
        <v>0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1" t="s">
        <v>824</v>
      </c>
      <c r="L106" s="42"/>
      <c r="M106" s="42"/>
      <c r="N106" s="42"/>
      <c r="O106" s="42"/>
      <c r="P106" s="42"/>
      <c r="Q106" s="42"/>
      <c r="R106" s="42"/>
      <c r="S106" s="43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166</v>
      </c>
      <c r="S107" s="22" t="s">
        <v>164</v>
      </c>
    </row>
    <row r="108" spans="11:19" x14ac:dyDescent="0.4">
      <c r="K108" t="s">
        <v>49</v>
      </c>
      <c r="L108" s="2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</v>
      </c>
      <c r="M108" s="20">
        <f>COUNTIF(Scenario5[winner1-ability1],DruidAbilities1Scenario5[[#This Row],[ability]])+COUNTIF(Scenario5[winner2-ability1],DruidAbilities1Scenario5[[#This Row],[ability]])</f>
        <v>1</v>
      </c>
      <c r="N108" s="21">
        <f>IF(SUM(DruidAbilities1Scenario5[[#This Row],[takes]]) &gt; 0,DruidAbilities1Scenario5[[#This Row],[takes]]/SUM(DruidAbilities1Scenario5[takes]),0)</f>
        <v>0.2</v>
      </c>
      <c r="O108" s="21">
        <f>IF(DruidAbilities1Scenario5[[#This Row],[takes]]&gt;0,DruidAbilities1Scenario5[[#This Row],[wins]]/DruidAbilities1Scenario5[[#This Row],[takes]],0)</f>
        <v>1</v>
      </c>
      <c r="P108" s="20"/>
      <c r="Q108" s="20">
        <v>1</v>
      </c>
      <c r="R108" s="2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</v>
      </c>
      <c r="S108" s="22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5</v>
      </c>
    </row>
    <row r="109" spans="11:19" x14ac:dyDescent="0.4">
      <c r="K109" t="s">
        <v>89</v>
      </c>
      <c r="L109" s="2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</v>
      </c>
      <c r="M109" s="20">
        <f>COUNTIF(Scenario5[winner1-ability1],DruidAbilities1Scenario5[[#This Row],[ability]])+COUNTIF(Scenario5[winner2-ability1],DruidAbilities1Scenario5[[#This Row],[ability]])</f>
        <v>0</v>
      </c>
      <c r="N109" s="21">
        <f>IF(SUM(DruidAbilities1Scenario5[[#This Row],[takes]]) &gt; 0,DruidAbilities1Scenario5[[#This Row],[takes]]/SUM(DruidAbilities1Scenario5[takes]),0)</f>
        <v>0.2</v>
      </c>
      <c r="O109" s="21">
        <f>IF(DruidAbilities1Scenario5[[#This Row],[takes]]&gt;0,DruidAbilities1Scenario5[[#This Row],[wins]]/DruidAbilities1Scenario5[[#This Row],[takes]],0)</f>
        <v>0</v>
      </c>
      <c r="P109" s="20"/>
      <c r="Q109" s="20">
        <v>2</v>
      </c>
      <c r="R109" s="2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</v>
      </c>
      <c r="S109" s="22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0</v>
      </c>
    </row>
    <row r="110" spans="11:19" x14ac:dyDescent="0.4">
      <c r="K110" t="s">
        <v>126</v>
      </c>
      <c r="L110" s="2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</v>
      </c>
      <c r="M110" s="20">
        <f>COUNTIF(Scenario5[winner1-ability1],DruidAbilities1Scenario5[[#This Row],[ability]])+COUNTIF(Scenario5[winner2-ability1],DruidAbilities1Scenario5[[#This Row],[ability]])</f>
        <v>1</v>
      </c>
      <c r="N110" s="21">
        <f>IF(SUM(DruidAbilities1Scenario5[[#This Row],[takes]]) &gt; 0,DruidAbilities1Scenario5[[#This Row],[takes]]/SUM(DruidAbilities1Scenario5[takes]),0)</f>
        <v>0.6</v>
      </c>
      <c r="O110" s="21">
        <f>IF(DruidAbilities1Scenario5[[#This Row],[takes]]&gt;0,DruidAbilities1Scenario5[[#This Row],[wins]]/DruidAbilities1Scenario5[[#This Row],[takes]],0)</f>
        <v>0.33333333333333331</v>
      </c>
      <c r="P110" s="20"/>
      <c r="Q110" s="20">
        <v>3</v>
      </c>
      <c r="R110" s="2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</v>
      </c>
      <c r="S110" s="22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0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</v>
      </c>
      <c r="M113" s="2">
        <f>COUNTIF(Scenario5[winner1-ability2],DruidAbilities2Scenario5[[#This Row],[ability]])+COUNTIF(Scenario5[winner2-ability2],DruidAbilities2Scenario5[[#This Row],[ability]])</f>
        <v>1</v>
      </c>
      <c r="N113" s="13">
        <f>IF(SUM(DruidAbilities2Scenario5[[#This Row],[takes]]) &gt; 0,DruidAbilities2Scenario5[[#This Row],[takes]]/SUM(DruidAbilities2Scenario5[takes]),0)</f>
        <v>0.4</v>
      </c>
      <c r="O113" s="13">
        <f>IF(DruidAbilities2Scenario5[[#This Row],[takes]]&gt;0,DruidAbilities2Scenario5[[#This Row],[wins]]/DruidAbilities2Scenario5[[#This Row],[takes]],0)</f>
        <v>0.5</v>
      </c>
      <c r="P113" s="20"/>
      <c r="Q113" s="20"/>
      <c r="R113" s="20"/>
      <c r="S113" s="22"/>
    </row>
    <row r="114" spans="11:19" x14ac:dyDescent="0.4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0</v>
      </c>
      <c r="M114" s="2">
        <f>COUNTIF(Scenario5[winner1-ability2],DruidAbilities2Scenario5[[#This Row],[ability]])+COUNTIF(Scenario5[winner2-ability2],DruidAbilities2Scenario5[[#This Row],[ability]])</f>
        <v>0</v>
      </c>
      <c r="N114" s="21">
        <f>IF(SUM(DruidAbilities2Scenario5[[#This Row],[takes]]) &gt; 0,DruidAbilities2Scenario5[[#This Row],[takes]]/SUM(DruidAbilities2Scenario5[takes]),0)</f>
        <v>0</v>
      </c>
      <c r="O114" s="21">
        <f>IF(DruidAbilities2Scenario5[[#This Row],[takes]]&gt;0,DruidAbilities2Scenario5[[#This Row],[wins]]/DruidAbilities2Scenario5[[#This Row],[takes]],0)</f>
        <v>0</v>
      </c>
      <c r="P114" s="20"/>
      <c r="Q114" s="20"/>
      <c r="R114" s="20"/>
      <c r="S114" s="22"/>
    </row>
    <row r="115" spans="11:19" x14ac:dyDescent="0.4">
      <c r="K115" s="11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</v>
      </c>
      <c r="M115" s="2">
        <f>COUNTIF(Scenario5[winner1-ability2],DruidAbilities2Scenario5[[#This Row],[ability]])+COUNTIF(Scenario5[winner2-ability2],DruidAbilities2Scenario5[[#This Row],[ability]])</f>
        <v>1</v>
      </c>
      <c r="N115" s="14">
        <f>IF(SUM(DruidAbilities2Scenario5[[#This Row],[takes]]) &gt; 0,DruidAbilities2Scenario5[[#This Row],[takes]]/SUM(DruidAbilities2Scenario5[takes]),0)</f>
        <v>0.6</v>
      </c>
      <c r="O115" s="14">
        <f>IF(DruidAbilities2Scenario5[[#This Row],[takes]]&gt;0,DruidAbilities2Scenario5[[#This Row],[wins]]/DruidAbilities2Scenario5[[#This Row],[takes]],0)</f>
        <v>0.33333333333333331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0</v>
      </c>
      <c r="M118" s="1">
        <f>COUNTIF(Scenario5[winner1-ability3],DruidAbilities3Scenario5[[#This Row],[ability]])+COUNTIF(Scenario5[winner2-ability3],DruidAbilities3Scenario5[[#This Row],[ability]])</f>
        <v>0</v>
      </c>
      <c r="N118" s="15">
        <f>IF(SUM(DruidAbilities3Scenario5[[#This Row],[takes]]) &gt; 0,DruidAbilities3Scenario5[[#This Row],[takes]]/SUM(DruidAbilities3Scenario5[takes]),0)</f>
        <v>0</v>
      </c>
      <c r="O118" s="15">
        <f>IF(DruidAbilities3Scenario5[[#This Row],[takes]]&gt;0,DruidAbilities3Scenario5[[#This Row],[wins]]/DruidAbilities3Scenario5[[#This Row],[takes]],0)</f>
        <v>0</v>
      </c>
      <c r="P118" s="20"/>
      <c r="Q118" s="20"/>
      <c r="R118" s="20"/>
      <c r="S118" s="22"/>
    </row>
    <row r="119" spans="11:19" x14ac:dyDescent="0.4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</v>
      </c>
      <c r="M119" s="2">
        <f>COUNTIF(Scenario5[winner1-ability3],DruidAbilities3Scenario5[[#This Row],[ability]])+COUNTIF(Scenario5[winner2-ability3],DruidAbilities3Scenario5[[#This Row],[ability]])</f>
        <v>0</v>
      </c>
      <c r="N119" s="13">
        <f>IF(SUM(DruidAbilities3Scenario5[[#This Row],[takes]]) &gt; 0,DruidAbilities3Scenario5[[#This Row],[takes]]/SUM(DruidAbilities3Scenario5[takes]),0)</f>
        <v>0.66666666666666663</v>
      </c>
      <c r="O119" s="13">
        <f>IF(DruidAbilities3Scenario5[[#This Row],[takes]]&gt;0,DruidAbilities3Scenario5[[#This Row],[wins]]/DruidAbilities3Scenario5[[#This Row],[takes]],0)</f>
        <v>0</v>
      </c>
      <c r="P119" s="20"/>
      <c r="Q119" s="20"/>
      <c r="R119" s="20"/>
      <c r="S119" s="22"/>
    </row>
    <row r="120" spans="11:19" x14ac:dyDescent="0.4">
      <c r="K120" s="12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</v>
      </c>
      <c r="M120" s="1">
        <f>COUNTIF(Scenario5[winner1-ability3],DruidAbilities3Scenario5[[#This Row],[ability]])+COUNTIF(Scenario5[winner2-ability3],DruidAbilities3Scenario5[[#This Row],[ability]])</f>
        <v>1</v>
      </c>
      <c r="N120" s="16">
        <f>IF(SUM(DruidAbilities3Scenario5[[#This Row],[takes]]) &gt; 0,DruidAbilities3Scenario5[[#This Row],[takes]]/SUM(DruidAbilities3Scenario5[takes]),0)</f>
        <v>0.33333333333333331</v>
      </c>
      <c r="O120" s="16">
        <f>IF(DruidAbilities3Scenario5[[#This Row],[takes]]&gt;0,DruidAbilities3Scenario5[[#This Row],[wins]]/DruidAbilities3Scenario5[[#This Row],[takes]],0)</f>
        <v>1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</v>
      </c>
      <c r="M123" s="2">
        <f>COUNTIF(Scenario5[winner1-ability4],DruidAbilities4Scenario5[[#This Row],[ability]])+COUNTIF(Scenario5[winner2-ability4],DruidAbilities4Scenario5[[#This Row],[ability]])</f>
        <v>0</v>
      </c>
      <c r="N123" s="13">
        <f>IF(SUM(DruidAbilities4Scenario5[[#This Row],[takes]]) &gt; 0,DruidAbilities4Scenario5[[#This Row],[takes]]/SUM(DruidAbilities4Scenario5[takes]),0)</f>
        <v>0.66666666666666663</v>
      </c>
      <c r="O123" s="13">
        <f>IF(DruidAbilities4Scenario5[[#This Row],[takes]]&gt;0,DruidAbilities4Scenario5[[#This Row],[wins]]/DruidAbilities4Scenario5[[#This Row],[takes]],0)</f>
        <v>0</v>
      </c>
      <c r="P123" s="20"/>
      <c r="Q123" s="20"/>
      <c r="R123" s="20"/>
      <c r="S123" s="22"/>
    </row>
    <row r="124" spans="11:19" x14ac:dyDescent="0.4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0</v>
      </c>
      <c r="M124" s="2">
        <f>COUNTIF(Scenario5[winner1-ability4],DruidAbilities4Scenario5[[#This Row],[ability]])+COUNTIF(Scenario5[winner2-ability4],DruidAbilities4Scenario5[[#This Row],[ability]])</f>
        <v>0</v>
      </c>
      <c r="N124" s="13">
        <f>IF(SUM(DruidAbilities4Scenario5[[#This Row],[takes]]) &gt; 0,DruidAbilities4Scenario5[[#This Row],[takes]]/SUM(DruidAbilities4Scenario5[takes]),0)</f>
        <v>0</v>
      </c>
      <c r="O124" s="13">
        <f>IF(DruidAbilities4Scenario5[[#This Row],[takes]]&gt;0,DruidAbilities4Scenario5[[#This Row],[wins]]/DruidAbilities4Scenario5[[#This Row],[takes]],0)</f>
        <v>0</v>
      </c>
      <c r="P124" s="20"/>
      <c r="Q124" s="20"/>
      <c r="R124" s="20"/>
      <c r="S124" s="22"/>
    </row>
    <row r="125" spans="11:19" ht="15" thickBot="1" x14ac:dyDescent="0.45">
      <c r="K125" s="11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</v>
      </c>
      <c r="M125" s="2">
        <f>COUNTIF(Scenario5[winner1-ability4],DruidAbilities4Scenario5[[#This Row],[ability]])+COUNTIF(Scenario5[winner2-ability4],DruidAbilities4Scenario5[[#This Row],[ability]])</f>
        <v>1</v>
      </c>
      <c r="N125" s="30">
        <f>IF(SUM(DruidAbilities4Scenario5[[#This Row],[takes]]) &gt; 0,DruidAbilities4Scenario5[[#This Row],[takes]]/SUM(DruidAbilities4Scenario5[takes]),0)</f>
        <v>0.33333333333333331</v>
      </c>
      <c r="O125" s="30">
        <f>IF(DruidAbilities4Scenario5[[#This Row],[takes]]&gt;0,DruidAbilities4Scenario5[[#This Row],[wins]]/DruidAbilities4Scenario5[[#This Row],[takes]],0)</f>
        <v>1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I8" sqref="I8"/>
    </sheetView>
  </sheetViews>
  <sheetFormatPr defaultRowHeight="14.6" x14ac:dyDescent="0.4"/>
  <cols>
    <col min="1" max="1" width="21.921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23046875" bestFit="1" customWidth="1"/>
    <col min="9" max="9" width="11.84375" bestFit="1" customWidth="1"/>
    <col min="10" max="10" width="3.84375" customWidth="1"/>
    <col min="11" max="11" width="21.921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3.61328125" customWidth="1"/>
    <col min="17" max="17" width="6.921875" bestFit="1" customWidth="1"/>
    <col min="18" max="18" width="7.23046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3"/>
      <c r="K1" s="41" t="s">
        <v>392</v>
      </c>
      <c r="L1" s="42"/>
      <c r="M1" s="42"/>
      <c r="N1" s="42"/>
      <c r="O1" s="42"/>
      <c r="P1" s="42"/>
      <c r="Q1" s="42"/>
      <c r="R1" s="42"/>
      <c r="S1" s="43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167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167</v>
      </c>
      <c r="S2" s="22" t="s">
        <v>164</v>
      </c>
      <c r="T2" s="20"/>
      <c r="U2" t="s">
        <v>407</v>
      </c>
      <c r="V2" s="3">
        <f>H4/SUM(OracleEquip[book])</f>
        <v>0.45614035087719296</v>
      </c>
    </row>
    <row r="3" spans="1:22" x14ac:dyDescent="0.4">
      <c r="A3" t="s">
        <v>46</v>
      </c>
      <c r="B3" s="20">
        <f>L3+L24+L45+L66+L87+L108</f>
        <v>171</v>
      </c>
      <c r="C3" s="20">
        <f>M3+M24+M45+M66+M87+M108</f>
        <v>95</v>
      </c>
      <c r="D3" s="21">
        <f>IF(SUM(OracleAbilities1[[#This Row],[takes]]) &gt; 0,OracleAbilities1[[#This Row],[takes]]/SUM(OracleAbilities1[takes]),0)</f>
        <v>0.6</v>
      </c>
      <c r="E3" s="21">
        <f>IF(OracleAbilities1[[#This Row],[takes]]&gt;0,OracleAbilities1[[#This Row],[wins]]/OracleAbilities1[[#This Row],[takes]],0)</f>
        <v>0.55555555555555558</v>
      </c>
      <c r="F3" s="20"/>
      <c r="G3" s="20">
        <v>1</v>
      </c>
      <c r="H3" s="20">
        <f>R3+R24+R45+R66+R87+R108</f>
        <v>70</v>
      </c>
      <c r="I3" s="22">
        <f>S3+S24+S45+S66+S87+S108</f>
        <v>170</v>
      </c>
      <c r="K3" t="s">
        <v>46</v>
      </c>
      <c r="L3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97</v>
      </c>
      <c r="M3" s="20">
        <f>COUNTIF(Scenario0[winner1-ability1],OracleAbilities1Scenario0[[#This Row],[ability]])+COUNTIF(Scenario0[winner2-ability1],OracleAbilities1Scenario0[[#This Row],[ability]])</f>
        <v>54</v>
      </c>
      <c r="N3" s="21">
        <f>IF(SUM(OracleAbilities1Scenario0[[#This Row],[takes]]) &gt; 0,OracleAbilities1Scenario0[[#This Row],[takes]]/SUM(OracleAbilities1Scenario0[takes]),0)</f>
        <v>0.92380952380952386</v>
      </c>
      <c r="O3" s="21">
        <f>IF(OracleAbilities1Scenario0[[#This Row],[takes]]&gt;0,OracleAbilities1Scenario0[[#This Row],[wins]]/OracleAbilities1Scenario0[[#This Row],[takes]],0)</f>
        <v>0.55670103092783507</v>
      </c>
      <c r="P3" s="20"/>
      <c r="Q3" s="20">
        <v>1</v>
      </c>
      <c r="R3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25</v>
      </c>
      <c r="S3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82</v>
      </c>
      <c r="T3" s="20"/>
      <c r="U3" t="s">
        <v>408</v>
      </c>
      <c r="V3" s="18">
        <f>H5/SUM(OracleEquip[book])</f>
        <v>0.2982456140350877</v>
      </c>
    </row>
    <row r="4" spans="1:22" x14ac:dyDescent="0.4">
      <c r="A4" t="s">
        <v>65</v>
      </c>
      <c r="B4" s="20">
        <f t="shared" ref="B4:B5" si="0">L4+L25+L46+L67+L88+L109</f>
        <v>43</v>
      </c>
      <c r="C4" s="20">
        <f t="shared" ref="C4:C5" si="1">M4+M25+M46+M67+M88+M109</f>
        <v>16</v>
      </c>
      <c r="D4" s="21">
        <f>IF(SUM(OracleAbilities1[[#This Row],[takes]]) &gt; 0,OracleAbilities1[[#This Row],[takes]]/SUM(OracleAbilities1[takes]),0)</f>
        <v>0.15087719298245614</v>
      </c>
      <c r="E4" s="21">
        <f>IF(OracleAbilities1[[#This Row],[takes]]&gt;0,OracleAbilities1[[#This Row],[wins]]/OracleAbilities1[[#This Row],[takes]],0)</f>
        <v>0.37209302325581395</v>
      </c>
      <c r="F4" s="20"/>
      <c r="G4" s="20">
        <v>2</v>
      </c>
      <c r="H4" s="20">
        <f t="shared" ref="H4:H5" si="2">R4+R25+R46+R67+R88+R109</f>
        <v>130</v>
      </c>
      <c r="I4" s="22">
        <f t="shared" ref="I4:I5" si="3">S4+S25+S46+S67+S88+S109</f>
        <v>62</v>
      </c>
      <c r="K4" t="s">
        <v>65</v>
      </c>
      <c r="L4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6</v>
      </c>
      <c r="M4" s="20">
        <f>COUNTIF(Scenario0[winner1-ability1],OracleAbilities1Scenario0[[#This Row],[ability]])+COUNTIF(Scenario0[winner2-ability1],OracleAbilities1Scenario0[[#This Row],[ability]])</f>
        <v>2</v>
      </c>
      <c r="N4" s="21">
        <f>IF(SUM(OracleAbilities1Scenario0[[#This Row],[takes]]) &gt; 0,OracleAbilities1Scenario0[[#This Row],[takes]]/SUM(OracleAbilities1Scenario0[takes]),0)</f>
        <v>5.7142857142857141E-2</v>
      </c>
      <c r="O4" s="21">
        <f>IF(OracleAbilities1Scenario0[[#This Row],[takes]]&gt;0,OracleAbilities1Scenario0[[#This Row],[wins]]/OracleAbilities1Scenario0[[#This Row],[takes]],0)</f>
        <v>0.33333333333333331</v>
      </c>
      <c r="P4" s="20"/>
      <c r="Q4" s="20">
        <v>2</v>
      </c>
      <c r="R4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57</v>
      </c>
      <c r="S4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17</v>
      </c>
      <c r="T4" s="20"/>
      <c r="U4" t="s">
        <v>179</v>
      </c>
      <c r="V4" s="3">
        <f>OracleEquip[[#This Row],[chestpiece]]/SUM(OracleEquip[chestpiece])</f>
        <v>0.21754385964912282</v>
      </c>
    </row>
    <row r="5" spans="1:22" x14ac:dyDescent="0.4">
      <c r="A5" t="s">
        <v>34</v>
      </c>
      <c r="B5" s="20">
        <f t="shared" si="0"/>
        <v>71</v>
      </c>
      <c r="C5" s="20">
        <f t="shared" si="1"/>
        <v>24</v>
      </c>
      <c r="D5" s="21">
        <f>IF(SUM(OracleAbilities1[[#This Row],[takes]]) &gt; 0,OracleAbilities1[[#This Row],[takes]]/SUM(OracleAbilities1[takes]),0)</f>
        <v>0.24912280701754386</v>
      </c>
      <c r="E5" s="21">
        <f>IF(OracleAbilities1[[#This Row],[takes]]&gt;0,OracleAbilities1[[#This Row],[wins]]/OracleAbilities1[[#This Row],[takes]],0)</f>
        <v>0.3380281690140845</v>
      </c>
      <c r="F5" s="20"/>
      <c r="G5" s="20">
        <v>3</v>
      </c>
      <c r="H5" s="20">
        <f t="shared" si="2"/>
        <v>85</v>
      </c>
      <c r="I5" s="22">
        <f t="shared" si="3"/>
        <v>53</v>
      </c>
      <c r="K5" t="s">
        <v>34</v>
      </c>
      <c r="L5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2</v>
      </c>
      <c r="M5" s="20">
        <f>COUNTIF(Scenario0[winner1-ability1],OracleAbilities1Scenario0[[#This Row],[ability]])+COUNTIF(Scenario0[winner2-ability1],OracleAbilities1Scenario0[[#This Row],[ability]])</f>
        <v>1</v>
      </c>
      <c r="N5" s="21">
        <f>IF(SUM(OracleAbilities1Scenario0[[#This Row],[takes]]) &gt; 0,OracleAbilities1Scenario0[[#This Row],[takes]]/SUM(OracleAbilities1Scenario0[takes]),0)</f>
        <v>1.9047619047619049E-2</v>
      </c>
      <c r="O5" s="21">
        <f>IF(OracleAbilities1Scenario0[[#This Row],[takes]]&gt;0,OracleAbilities1Scenario0[[#This Row],[wins]]/OracleAbilities1Scenario0[[#This Row],[takes]],0)</f>
        <v>0.5</v>
      </c>
      <c r="P5" s="20"/>
      <c r="Q5" s="20">
        <v>3</v>
      </c>
      <c r="R5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23</v>
      </c>
      <c r="S5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6</v>
      </c>
      <c r="T5" s="20"/>
      <c r="U5" t="s">
        <v>180</v>
      </c>
      <c r="V5" s="18">
        <f>OracleEquip[[#This Row],[chestpiece]]/SUM(OracleEquip[chestpiece])</f>
        <v>0.18596491228070175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SUM(OracleAbilities2[takes])/SUM(OracleAbilities1[takes])</f>
        <v>0.49122807017543857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SUM(OracleAbilities3[takes])/SUM(OracleAbilities1[takes])</f>
        <v>0.27017543859649124</v>
      </c>
    </row>
    <row r="8" spans="1:22" x14ac:dyDescent="0.4">
      <c r="A8" s="2" t="s">
        <v>66</v>
      </c>
      <c r="B8" s="2">
        <f>L8+L29+L50+L71+L92+L113</f>
        <v>37</v>
      </c>
      <c r="C8" s="2">
        <f>M8+M29+M50+M71+M92+M113</f>
        <v>20</v>
      </c>
      <c r="D8" s="13">
        <f>IF(SUM(OracleAbilities2[[#This Row],[takes]]) &gt; 0,OracleAbilities2[[#This Row],[takes]]/SUM(OracleAbilities2[takes]),0)</f>
        <v>0.26428571428571429</v>
      </c>
      <c r="E8" s="13">
        <f>IF(OracleAbilities2[[#This Row],[takes]]&gt;0,OracleAbilities2[[#This Row],[wins]]/OracleAbilities2[[#This Row],[takes]],0)</f>
        <v>0.54054054054054057</v>
      </c>
      <c r="F8" s="20"/>
      <c r="G8" s="20"/>
      <c r="H8" s="20"/>
      <c r="I8" s="22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13</v>
      </c>
      <c r="M8" s="2">
        <f>COUNTIF(Scenario0[winner1-ability2],OracleAbilities2Scenario0[[#This Row],[ability]])+COUNTIF(Scenario0[winner2-ability2],OracleAbilities2Scenario0[[#This Row],[ability]])</f>
        <v>9</v>
      </c>
      <c r="N8" s="13">
        <f>IF(SUM(OracleAbilities2Scenario0[[#This Row],[takes]]) &gt; 0,OracleAbilities2Scenario0[[#This Row],[takes]]/SUM(OracleAbilities2Scenario0[takes]),0)</f>
        <v>0.32500000000000001</v>
      </c>
      <c r="O8" s="13">
        <f>IF(OracleAbilities2Scenario0[[#This Row],[takes]]&gt;0,OracleAbilities2Scenario0[[#This Row],[wins]]/OracleAbilities2Scenario0[[#This Row],[takes]],0)</f>
        <v>0.69230769230769229</v>
      </c>
      <c r="P8" s="20"/>
      <c r="Q8" s="20"/>
      <c r="R8" s="20"/>
      <c r="S8" s="22"/>
      <c r="T8" s="20"/>
      <c r="U8" t="s">
        <v>178</v>
      </c>
      <c r="V8" s="18">
        <f>SUM(OracleAbilities4[takes])/SUM(OracleAbilities1[takes])</f>
        <v>0.14035087719298245</v>
      </c>
    </row>
    <row r="9" spans="1:22" x14ac:dyDescent="0.4">
      <c r="A9" t="s">
        <v>130</v>
      </c>
      <c r="B9" s="2">
        <f t="shared" ref="B9:B10" si="4">L9+L30+L51+L72+L93+L114</f>
        <v>52</v>
      </c>
      <c r="C9" s="2">
        <f t="shared" ref="C9:C10" si="5">M9+M30+M51+M72+M93+M114</f>
        <v>20</v>
      </c>
      <c r="D9" s="21">
        <f>IF(SUM(OracleAbilities2[[#This Row],[takes]]) &gt; 0,OracleAbilities2[[#This Row],[takes]]/SUM(OracleAbilities2[takes]),0)</f>
        <v>0.37142857142857144</v>
      </c>
      <c r="E9" s="21">
        <f>IF(OracleAbilities2[[#This Row],[takes]]&gt;0,OracleAbilities2[[#This Row],[wins]]/OracleAbilities2[[#This Row],[takes]],0)</f>
        <v>0.38461538461538464</v>
      </c>
      <c r="F9" s="20"/>
      <c r="G9" s="20"/>
      <c r="H9" s="20"/>
      <c r="I9" s="22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5</v>
      </c>
      <c r="M9" s="2">
        <f>COUNTIF(Scenario0[winner1-ability2],OracleAbilities2Scenario0[[#This Row],[ability]])+COUNTIF(Scenario0[winner2-ability2],OracleAbilities2Scenario0[[#This Row],[ability]])</f>
        <v>1</v>
      </c>
      <c r="N9" s="21">
        <f>IF(SUM(OracleAbilities2Scenario0[[#This Row],[takes]]) &gt; 0,OracleAbilities2Scenario0[[#This Row],[takes]]/SUM(OracleAbilities2Scenario0[takes]),0)</f>
        <v>0.125</v>
      </c>
      <c r="O9" s="21">
        <f>IF(OracleAbilities2Scenario0[[#This Row],[takes]]&gt;0,OracleAbilities2Scenario0[[#This Row],[wins]]/OracleAbilities2Scenario0[[#This Row],[takes]],0)</f>
        <v>0.2</v>
      </c>
      <c r="P9" s="20"/>
      <c r="Q9" s="20"/>
      <c r="R9" s="20"/>
      <c r="S9" s="22"/>
      <c r="T9" s="20"/>
      <c r="U9" t="s">
        <v>404</v>
      </c>
      <c r="V9" s="39">
        <f>(SUM(OracleAbilities2[takes])+SUM(OracleAbilities3[takes])+SUM(OracleAbilities4[takes])+SUM(H4:H5)+SUM(I4:I5))/SUM(OracleAbilities1[takes])</f>
        <v>2.0596491228070177</v>
      </c>
    </row>
    <row r="10" spans="1:22" x14ac:dyDescent="0.4">
      <c r="A10" s="11" t="s">
        <v>35</v>
      </c>
      <c r="B10" s="2">
        <f t="shared" si="4"/>
        <v>51</v>
      </c>
      <c r="C10" s="2">
        <f t="shared" si="5"/>
        <v>36</v>
      </c>
      <c r="D10" s="14">
        <f>IF(SUM(OracleAbilities2[[#This Row],[takes]]) &gt; 0,OracleAbilities2[[#This Row],[takes]]/SUM(OracleAbilities2[takes]),0)</f>
        <v>0.36428571428571427</v>
      </c>
      <c r="E10" s="14">
        <f>IF(OracleAbilities2[[#This Row],[takes]]&gt;0,OracleAbilities2[[#This Row],[wins]]/OracleAbilities2[[#This Row],[takes]],0)</f>
        <v>0.70588235294117652</v>
      </c>
      <c r="F10" s="20"/>
      <c r="G10" s="20"/>
      <c r="H10" s="20"/>
      <c r="I10" s="22"/>
      <c r="K10" s="11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22</v>
      </c>
      <c r="M10" s="2">
        <f>COUNTIF(Scenario0[winner1-ability2],OracleAbilities2Scenario0[[#This Row],[ability]])+COUNTIF(Scenario0[winner2-ability2],OracleAbilities2Scenario0[[#This Row],[ability]])</f>
        <v>17</v>
      </c>
      <c r="N10" s="14">
        <f>IF(SUM(OracleAbilities2Scenario0[[#This Row],[takes]]) &gt; 0,OracleAbilities2Scenario0[[#This Row],[takes]]/SUM(OracleAbilities2Scenario0[takes]),0)</f>
        <v>0.55000000000000004</v>
      </c>
      <c r="O10" s="14">
        <f>IF(OracleAbilities2Scenario0[[#This Row],[takes]]&gt;0,OracleAbilities2Scenario0[[#This Row],[wins]]/OracleAbilities2Scenario0[[#This Row],[takes]],0)</f>
        <v>0.77272727272727271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36</v>
      </c>
      <c r="B13" s="1">
        <f>L13+L34+L55+L76+L97+L118</f>
        <v>15</v>
      </c>
      <c r="C13" s="1">
        <f>M13+M34+M55+M76+M97+M118</f>
        <v>9</v>
      </c>
      <c r="D13" s="15">
        <f>IF(SUM(OracleAbilities3[[#This Row],[takes]]) &gt; 0,OracleAbilities3[[#This Row],[takes]]/SUM(OracleAbilities3[takes]),0)</f>
        <v>0.19480519480519481</v>
      </c>
      <c r="E13" s="15">
        <f>IF(OracleAbilities3[[#This Row],[takes]]&gt;0,OracleAbilities3[[#This Row],[wins]]/OracleAbilities3[[#This Row],[takes]],0)</f>
        <v>0.6</v>
      </c>
      <c r="F13" s="20"/>
      <c r="G13" s="20"/>
      <c r="H13" s="20"/>
      <c r="I13" s="22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4</v>
      </c>
      <c r="M13" s="1">
        <f>COUNTIF(Scenario0[winner1-ability3],OracleAbilities3Scenario0[[#This Row],[ability]])+COUNTIF(Scenario0[winner2-ability3],OracleAbilities3Scenario0[[#This Row],[ability]])</f>
        <v>3</v>
      </c>
      <c r="N13" s="15">
        <f>IF(SUM(OracleAbilities3Scenario0[[#This Row],[takes]]) &gt; 0,OracleAbilities3Scenario0[[#This Row],[takes]]/SUM(OracleAbilities3Scenario0[takes]),0)</f>
        <v>0.23529411764705882</v>
      </c>
      <c r="O13" s="15">
        <f>IF(OracleAbilities3Scenario0[[#This Row],[takes]]&gt;0,OracleAbilities3Scenario0[[#This Row],[wins]]/OracleAbilities3Scenario0[[#This Row],[takes]],0)</f>
        <v>0.75</v>
      </c>
      <c r="P13" s="20"/>
      <c r="Q13" s="20"/>
      <c r="R13" s="20"/>
      <c r="S13" s="22"/>
      <c r="T13" s="20"/>
    </row>
    <row r="14" spans="1:22" x14ac:dyDescent="0.4">
      <c r="A14" s="2" t="s">
        <v>131</v>
      </c>
      <c r="B14" s="2">
        <f t="shared" ref="B14:B15" si="6">L14+L35+L56+L77+L98+L119</f>
        <v>24</v>
      </c>
      <c r="C14" s="2">
        <f t="shared" ref="C14:C15" si="7">M14+M35+M56+M77+M98+M119</f>
        <v>12</v>
      </c>
      <c r="D14" s="13">
        <f>IF(SUM(OracleAbilities3[[#This Row],[takes]]) &gt; 0,OracleAbilities3[[#This Row],[takes]]/SUM(OracleAbilities3[takes]),0)</f>
        <v>0.31168831168831168</v>
      </c>
      <c r="E14" s="13">
        <f>IF(OracleAbilities3[[#This Row],[takes]]&gt;0,OracleAbilities3[[#This Row],[wins]]/OracleAbilities3[[#This Row],[takes]],0)</f>
        <v>0.5</v>
      </c>
      <c r="F14" s="20"/>
      <c r="G14" s="20"/>
      <c r="H14" s="20"/>
      <c r="I14" s="22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4</v>
      </c>
      <c r="M14" s="2">
        <f>COUNTIF(Scenario0[winner1-ability3],OracleAbilities3Scenario0[[#This Row],[ability]])+COUNTIF(Scenario0[winner2-ability3],OracleAbilities3Scenario0[[#This Row],[ability]])</f>
        <v>3</v>
      </c>
      <c r="N14" s="13">
        <f>IF(SUM(OracleAbilities3Scenario0[[#This Row],[takes]]) &gt; 0,OracleAbilities3Scenario0[[#This Row],[takes]]/SUM(OracleAbilities3Scenario0[takes]),0)</f>
        <v>0.23529411764705882</v>
      </c>
      <c r="O14" s="13">
        <f>IF(OracleAbilities3Scenario0[[#This Row],[takes]]&gt;0,OracleAbilities3Scenario0[[#This Row],[wins]]/OracleAbilities3Scenario0[[#This Row],[takes]],0)</f>
        <v>0.75</v>
      </c>
      <c r="P14" s="20"/>
      <c r="Q14" s="20"/>
      <c r="R14" s="20"/>
      <c r="S14" s="22"/>
      <c r="T14" s="20"/>
    </row>
    <row r="15" spans="1:22" x14ac:dyDescent="0.4">
      <c r="A15" s="12" t="s">
        <v>132</v>
      </c>
      <c r="B15" s="1">
        <f t="shared" si="6"/>
        <v>38</v>
      </c>
      <c r="C15" s="1">
        <f t="shared" si="7"/>
        <v>20</v>
      </c>
      <c r="D15" s="16">
        <f>IF(SUM(OracleAbilities3[[#This Row],[takes]]) &gt; 0,OracleAbilities3[[#This Row],[takes]]/SUM(OracleAbilities3[takes]),0)</f>
        <v>0.4935064935064935</v>
      </c>
      <c r="E15" s="16">
        <f>IF(OracleAbilities3[[#This Row],[takes]]&gt;0,OracleAbilities3[[#This Row],[wins]]/OracleAbilities3[[#This Row],[takes]],0)</f>
        <v>0.52631578947368418</v>
      </c>
      <c r="F15" s="20"/>
      <c r="G15" s="20"/>
      <c r="H15" s="20"/>
      <c r="I15" s="22"/>
      <c r="K15" s="12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9</v>
      </c>
      <c r="M15" s="1">
        <f>COUNTIF(Scenario0[winner1-ability3],OracleAbilities3Scenario0[[#This Row],[ability]])+COUNTIF(Scenario0[winner2-ability3],OracleAbilities3Scenario0[[#This Row],[ability]])</f>
        <v>7</v>
      </c>
      <c r="N15" s="16">
        <f>IF(SUM(OracleAbilities3Scenario0[[#This Row],[takes]]) &gt; 0,OracleAbilities3Scenario0[[#This Row],[takes]]/SUM(OracleAbilities3Scenario0[takes]),0)</f>
        <v>0.52941176470588236</v>
      </c>
      <c r="O15" s="16">
        <f>IF(OracleAbilities3Scenario0[[#This Row],[takes]]&gt;0,OracleAbilities3Scenario0[[#This Row],[wins]]/OracleAbilities3Scenario0[[#This Row],[takes]],0)</f>
        <v>0.77777777777777779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133</v>
      </c>
      <c r="B18" s="2">
        <f>L18+L39+L60+L81+L102+L123</f>
        <v>28</v>
      </c>
      <c r="C18" s="2">
        <f>M18+M39+M60+M81+M102+M123</f>
        <v>11</v>
      </c>
      <c r="D18" s="13">
        <f>IF(SUM(OracleAbilities4[[#This Row],[takes]]) &gt; 0,OracleAbilities4[[#This Row],[takes]]/SUM(OracleAbilities4[takes]),0)</f>
        <v>0.7</v>
      </c>
      <c r="E18" s="13">
        <f>IF(OracleAbilities4[[#This Row],[takes]]&gt;0,OracleAbilities4[[#This Row],[wins]]/OracleAbilities4[[#This Row],[takes]],0)</f>
        <v>0.39285714285714285</v>
      </c>
      <c r="F18" s="20"/>
      <c r="G18" s="20"/>
      <c r="H18" s="20"/>
      <c r="I18" s="22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3">
        <f>IF(SUM(OracleAbilities4Scenario0[[#This Row],[takes]]) &gt; 0,OracleAbilities4Scenario0[[#This Row],[takes]]/SUM(OracleAbilities4Scenario0[takes]),0)</f>
        <v>0</v>
      </c>
      <c r="O18" s="13">
        <f>IF(OracleAbilities4Scenario0[[#This Row],[takes]]&gt;0,OracleAbilities4Scenario0[[#This Row],[wins]]/OracleAbilities4Scenario0[[#This Row],[takes]],0)</f>
        <v>0</v>
      </c>
      <c r="P18" s="20"/>
      <c r="Q18" s="20"/>
      <c r="R18" s="20"/>
      <c r="S18" s="22"/>
      <c r="T18" s="20"/>
    </row>
    <row r="19" spans="1:20" x14ac:dyDescent="0.4">
      <c r="A19" s="2" t="s">
        <v>37</v>
      </c>
      <c r="B19" s="2">
        <f t="shared" ref="B19:B20" si="8">L19+L40+L61+L82+L103+L124</f>
        <v>5</v>
      </c>
      <c r="C19" s="2">
        <f t="shared" ref="C19:C20" si="9">M19+M40+M61+M82+M103+M124</f>
        <v>2</v>
      </c>
      <c r="D19" s="13">
        <f>IF(SUM(OracleAbilities4[[#This Row],[takes]]) &gt; 0,OracleAbilities4[[#This Row],[takes]]/SUM(OracleAbilities4[takes]),0)</f>
        <v>0.125</v>
      </c>
      <c r="E19" s="13">
        <f>IF(OracleAbilities4[[#This Row],[takes]]&gt;0,OracleAbilities4[[#This Row],[wins]]/OracleAbilities4[[#This Row],[takes]],0)</f>
        <v>0.4</v>
      </c>
      <c r="F19" s="20"/>
      <c r="G19" s="20"/>
      <c r="H19" s="20"/>
      <c r="I19" s="22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3">
        <f>IF(SUM(OracleAbilities4Scenario0[[#This Row],[takes]]) &gt; 0,OracleAbilities4Scenario0[[#This Row],[takes]]/SUM(OracleAbilities4Scenario0[takes]),0)</f>
        <v>0</v>
      </c>
      <c r="O19" s="13">
        <f>IF(OracleAbilities4Scenario0[[#This Row],[takes]]&gt;0,OracleAbilities4Scenario0[[#This Row],[wins]]/OracleAbilities4Scenario0[[#This Row],[takes]],0)</f>
        <v>0</v>
      </c>
      <c r="P19" s="20"/>
      <c r="Q19" s="20"/>
      <c r="R19" s="20"/>
      <c r="S19" s="22"/>
      <c r="T19" s="20"/>
    </row>
    <row r="20" spans="1:20" ht="15" thickBot="1" x14ac:dyDescent="0.45">
      <c r="A20" s="11" t="s">
        <v>134</v>
      </c>
      <c r="B20" s="2">
        <f t="shared" si="8"/>
        <v>7</v>
      </c>
      <c r="C20" s="2">
        <f t="shared" si="9"/>
        <v>3</v>
      </c>
      <c r="D20" s="30">
        <f>IF(SUM(OracleAbilities4[[#This Row],[takes]]) &gt; 0,OracleAbilities4[[#This Row],[takes]]/SUM(OracleAbilities4[takes]),0)</f>
        <v>0.17499999999999999</v>
      </c>
      <c r="E20" s="30">
        <f>IF(OracleAbilities4[[#This Row],[takes]]&gt;0,OracleAbilities4[[#This Row],[wins]]/OracleAbilities4[[#This Row],[takes]],0)</f>
        <v>0.42857142857142855</v>
      </c>
      <c r="F20" s="31"/>
      <c r="G20" s="31"/>
      <c r="H20" s="31"/>
      <c r="I20" s="32"/>
      <c r="K20" s="11" t="s">
        <v>134</v>
      </c>
      <c r="L20" s="29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20" s="29">
        <f>COUNTIF(Scenario0[winner1-ability4],OracleAbilities4Scenario0[[#This Row],[ability]])+COUNTIF(Scenario0[winner2-ability4],OracleAbilities4Scenario0[[#This Row],[ability]])</f>
        <v>0</v>
      </c>
      <c r="N20" s="30">
        <f>IF(SUM(OracleAbilities4Scenario0[[#This Row],[takes]]) &gt; 0,OracleAbilities4Scenario0[[#This Row],[takes]]/SUM(OracleAbilities4Scenario0[takes]),0)</f>
        <v>1</v>
      </c>
      <c r="O20" s="30">
        <f>IF(OracleAbilities4Scenario0[[#This Row],[takes]]&gt;0,OracleAbilities4Scenario0[[#This Row],[wins]]/OracleAbilities4Scenario0[[#This Row],[takes]],0)</f>
        <v>0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1" t="s">
        <v>393</v>
      </c>
      <c r="L22" s="42"/>
      <c r="M22" s="42"/>
      <c r="N22" s="42"/>
      <c r="O22" s="42"/>
      <c r="P22" s="42"/>
      <c r="Q22" s="42"/>
      <c r="R22" s="42"/>
      <c r="S22" s="43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167</v>
      </c>
      <c r="S23" s="22" t="s">
        <v>164</v>
      </c>
      <c r="T23" s="20"/>
    </row>
    <row r="24" spans="1:20" x14ac:dyDescent="0.4">
      <c r="K24" t="s">
        <v>46</v>
      </c>
      <c r="L24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63</v>
      </c>
      <c r="M24" s="20">
        <f>COUNTIF(Scenario1[winner1-ability1],OracleAbilities1Scenario1[[#This Row],[ability]])+COUNTIF(Scenario1[winner2-ability1],OracleAbilities1Scenario1[[#This Row],[ability]])</f>
        <v>36</v>
      </c>
      <c r="N24" s="21">
        <f>IF(SUM(OracleAbilities1Scenario1[[#This Row],[takes]]) &gt; 0,OracleAbilities1Scenario1[[#This Row],[takes]]/SUM(OracleAbilities1Scenario1[takes]),0)</f>
        <v>0.6</v>
      </c>
      <c r="O24" s="21">
        <f>IF(OracleAbilities1Scenario1[[#This Row],[takes]]&gt;0,OracleAbilities1Scenario1[[#This Row],[wins]]/OracleAbilities1Scenario1[[#This Row],[takes]],0)</f>
        <v>0.5714285714285714</v>
      </c>
      <c r="P24" s="20"/>
      <c r="Q24" s="20">
        <v>1</v>
      </c>
      <c r="R24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23</v>
      </c>
      <c r="S24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74</v>
      </c>
      <c r="T24" s="20"/>
    </row>
    <row r="25" spans="1:20" x14ac:dyDescent="0.4">
      <c r="K25" t="s">
        <v>65</v>
      </c>
      <c r="L25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37</v>
      </c>
      <c r="M25" s="20">
        <f>COUNTIF(Scenario1[winner1-ability1],OracleAbilities1Scenario1[[#This Row],[ability]])+COUNTIF(Scenario1[winner2-ability1],OracleAbilities1Scenario1[[#This Row],[ability]])</f>
        <v>14</v>
      </c>
      <c r="N25" s="21">
        <f>IF(SUM(OracleAbilities1Scenario1[[#This Row],[takes]]) &gt; 0,OracleAbilities1Scenario1[[#This Row],[takes]]/SUM(OracleAbilities1Scenario1[takes]),0)</f>
        <v>0.35238095238095241</v>
      </c>
      <c r="O25" s="21">
        <f>IF(OracleAbilities1Scenario1[[#This Row],[takes]]&gt;0,OracleAbilities1Scenario1[[#This Row],[wins]]/OracleAbilities1Scenario1[[#This Row],[takes]],0)</f>
        <v>0.3783783783783784</v>
      </c>
      <c r="P25" s="20"/>
      <c r="Q25" s="20">
        <v>2</v>
      </c>
      <c r="R25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50</v>
      </c>
      <c r="S25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22</v>
      </c>
      <c r="T25" s="20"/>
    </row>
    <row r="26" spans="1:20" x14ac:dyDescent="0.4">
      <c r="K26" t="s">
        <v>34</v>
      </c>
      <c r="L26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</v>
      </c>
      <c r="M26" s="20">
        <f>COUNTIF(Scenario1[winner1-ability1],OracleAbilities1Scenario1[[#This Row],[ability]])+COUNTIF(Scenario1[winner2-ability1],OracleAbilities1Scenario1[[#This Row],[ability]])</f>
        <v>2</v>
      </c>
      <c r="N26" s="21">
        <f>IF(SUM(OracleAbilities1Scenario1[[#This Row],[takes]]) &gt; 0,OracleAbilities1Scenario1[[#This Row],[takes]]/SUM(OracleAbilities1Scenario1[takes]),0)</f>
        <v>4.7619047619047616E-2</v>
      </c>
      <c r="O26" s="21">
        <f>IF(OracleAbilities1Scenario1[[#This Row],[takes]]&gt;0,OracleAbilities1Scenario1[[#This Row],[wins]]/OracleAbilities1Scenario1[[#This Row],[takes]],0)</f>
        <v>0.4</v>
      </c>
      <c r="P26" s="20"/>
      <c r="Q26" s="20">
        <v>3</v>
      </c>
      <c r="R26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32</v>
      </c>
      <c r="S26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9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13</v>
      </c>
      <c r="M29" s="2">
        <f>COUNTIF(Scenario1[winner1-ability2],OracleAbilities2Scenario1[[#This Row],[ability]])+COUNTIF(Scenario1[winner2-ability2],OracleAbilities2Scenario1[[#This Row],[ability]])</f>
        <v>8</v>
      </c>
      <c r="N29" s="13">
        <f>IF(SUM(OracleAbilities2Scenario1[[#This Row],[takes]]) &gt; 0,OracleAbilities2Scenario1[[#This Row],[takes]]/SUM(OracleAbilities2Scenario1[takes]),0)</f>
        <v>0.33333333333333331</v>
      </c>
      <c r="O29" s="13">
        <f>IF(OracleAbilities2Scenario1[[#This Row],[takes]]&gt;0,OracleAbilities2Scenario1[[#This Row],[wins]]/OracleAbilities2Scenario1[[#This Row],[takes]],0)</f>
        <v>0.61538461538461542</v>
      </c>
      <c r="P29" s="20"/>
      <c r="Q29" s="20"/>
      <c r="R29" s="20"/>
      <c r="S29" s="22"/>
      <c r="T29" s="20"/>
    </row>
    <row r="30" spans="1:20" x14ac:dyDescent="0.4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4</v>
      </c>
      <c r="M30" s="2">
        <f>COUNTIF(Scenario1[winner1-ability2],OracleAbilities2Scenario1[[#This Row],[ability]])+COUNTIF(Scenario1[winner2-ability2],OracleAbilities2Scenario1[[#This Row],[ability]])</f>
        <v>0</v>
      </c>
      <c r="N30" s="21">
        <f>IF(SUM(OracleAbilities2Scenario1[[#This Row],[takes]]) &gt; 0,OracleAbilities2Scenario1[[#This Row],[takes]]/SUM(OracleAbilities2Scenario1[takes]),0)</f>
        <v>0.10256410256410256</v>
      </c>
      <c r="O30" s="21">
        <f>IF(OracleAbilities2Scenario1[[#This Row],[takes]]&gt;0,OracleAbilities2Scenario1[[#This Row],[wins]]/OracleAbilities2Scenario1[[#This Row],[takes]],0)</f>
        <v>0</v>
      </c>
      <c r="P30" s="20"/>
      <c r="Q30" s="20"/>
      <c r="R30" s="20"/>
      <c r="S30" s="22"/>
      <c r="T30" s="20"/>
    </row>
    <row r="31" spans="1:20" x14ac:dyDescent="0.4">
      <c r="K31" s="11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22</v>
      </c>
      <c r="M31" s="2">
        <f>COUNTIF(Scenario1[winner1-ability2],OracleAbilities2Scenario1[[#This Row],[ability]])+COUNTIF(Scenario1[winner2-ability2],OracleAbilities2Scenario1[[#This Row],[ability]])</f>
        <v>16</v>
      </c>
      <c r="N31" s="14">
        <f>IF(SUM(OracleAbilities2Scenario1[[#This Row],[takes]]) &gt; 0,OracleAbilities2Scenario1[[#This Row],[takes]]/SUM(OracleAbilities2Scenario1[takes]),0)</f>
        <v>0.5641025641025641</v>
      </c>
      <c r="O31" s="14">
        <f>IF(OracleAbilities2Scenario1[[#This Row],[takes]]&gt;0,OracleAbilities2Scenario1[[#This Row],[wins]]/OracleAbilities2Scenario1[[#This Row],[takes]],0)</f>
        <v>0.72727272727272729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5">
        <f>IF(SUM(OracleAbilities3Scenario1[[#This Row],[takes]]) &gt; 0,OracleAbilities3Scenario1[[#This Row],[takes]]/SUM(OracleAbilities3Scenario1[takes]),0)</f>
        <v>0</v>
      </c>
      <c r="O34" s="15">
        <f>IF(OracleAbilities3Scenario1[[#This Row],[takes]]&gt;0,OracleAbilities3Scenario1[[#This Row],[wins]]/OracleAbilities3Scenario1[[#This Row],[takes]],0)</f>
        <v>0</v>
      </c>
      <c r="P34" s="20"/>
      <c r="Q34" s="20"/>
      <c r="R34" s="20"/>
      <c r="S34" s="22"/>
      <c r="T34" s="20"/>
    </row>
    <row r="35" spans="11:20" x14ac:dyDescent="0.4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6</v>
      </c>
      <c r="M35" s="2">
        <f>COUNTIF(Scenario1[winner1-ability3],OracleAbilities3Scenario1[[#This Row],[ability]])+COUNTIF(Scenario1[winner2-ability3],OracleAbilities3Scenario1[[#This Row],[ability]])</f>
        <v>4</v>
      </c>
      <c r="N35" s="13">
        <f>IF(SUM(OracleAbilities3Scenario1[[#This Row],[takes]]) &gt; 0,OracleAbilities3Scenario1[[#This Row],[takes]]/SUM(OracleAbilities3Scenario1[takes]),0)</f>
        <v>0.75</v>
      </c>
      <c r="O35" s="13">
        <f>IF(OracleAbilities3Scenario1[[#This Row],[takes]]&gt;0,OracleAbilities3Scenario1[[#This Row],[wins]]/OracleAbilities3Scenario1[[#This Row],[takes]],0)</f>
        <v>0.66666666666666663</v>
      </c>
      <c r="P35" s="20"/>
      <c r="Q35" s="20"/>
      <c r="R35" s="20"/>
      <c r="S35" s="22"/>
      <c r="T35" s="20"/>
    </row>
    <row r="36" spans="11:20" x14ac:dyDescent="0.4">
      <c r="K36" s="12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2</v>
      </c>
      <c r="M36" s="1">
        <f>COUNTIF(Scenario1[winner1-ability3],OracleAbilities3Scenario1[[#This Row],[ability]])+COUNTIF(Scenario1[winner2-ability3],OracleAbilities3Scenario1[[#This Row],[ability]])</f>
        <v>1</v>
      </c>
      <c r="N36" s="16">
        <f>IF(SUM(OracleAbilities3Scenario1[[#This Row],[takes]]) &gt; 0,OracleAbilities3Scenario1[[#This Row],[takes]]/SUM(OracleAbilities3Scenario1[takes]),0)</f>
        <v>0.25</v>
      </c>
      <c r="O36" s="16">
        <f>IF(OracleAbilities3Scenario1[[#This Row],[takes]]&gt;0,OracleAbilities3Scenario1[[#This Row],[wins]]/OracleAbilities3Scenario1[[#This Row],[takes]],0)</f>
        <v>0.5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3">
        <f>IF(SUM(OracleAbilities4Scenario1[[#This Row],[takes]]) &gt; 0,OracleAbilities4Scenario1[[#This Row],[takes]]/SUM(OracleAbilities4Scenario1[takes]),0)</f>
        <v>0</v>
      </c>
      <c r="O39" s="13">
        <f>IF(OracleAbilities4Scenario1[[#This Row],[takes]]&gt;0,OracleAbilities4Scenario1[[#This Row],[wins]]/OracleAbilities4Scenario1[[#This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3">
        <f>IF(SUM(OracleAbilities4Scenario1[[#This Row],[takes]]) &gt; 0,OracleAbilities4Scenario1[[#This Row],[takes]]/SUM(OracleAbilities4Scenario1[takes]),0)</f>
        <v>0</v>
      </c>
      <c r="O40" s="13">
        <f>IF(OracleAbilities4Scenario1[[#This Row],[takes]]&gt;0,OracleAbilities4Scenario1[[#This Row],[wins]]/OracleAbilities4Scenario1[[#This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134</v>
      </c>
      <c r="L41" s="29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9">
        <f>COUNTIF(Scenario1[winner1-ability4],OracleAbilities4Scenario1[[#This Row],[ability]])+COUNTIF(Scenario1[winner2-ability4],OracleAbilities4Scenario1[[#This Row],[ability]])</f>
        <v>0</v>
      </c>
      <c r="N41" s="30">
        <f>IF(SUM(OracleAbilities4Scenario1[[#This Row],[takes]]) &gt; 0,OracleAbilities4Scenario1[[#This Row],[takes]]/SUM(OracleAbilities4Scenario1[takes]),0)</f>
        <v>0</v>
      </c>
      <c r="O41" s="30">
        <f>IF(OracleAbilities4Scenario1[[#This Row],[takes]]&gt;0,OracleAbilities4Scenario1[[#This Row],[wins]]/OracleAbilities4Scenario1[[#This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1" t="s">
        <v>394</v>
      </c>
      <c r="L43" s="42"/>
      <c r="M43" s="42"/>
      <c r="N43" s="42"/>
      <c r="O43" s="42"/>
      <c r="P43" s="42"/>
      <c r="Q43" s="42"/>
      <c r="R43" s="42"/>
      <c r="S43" s="43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167</v>
      </c>
      <c r="S44" s="22" t="s">
        <v>164</v>
      </c>
    </row>
    <row r="45" spans="11:20" x14ac:dyDescent="0.4">
      <c r="K45" t="s">
        <v>46</v>
      </c>
      <c r="L45" s="20">
        <f>COUNTIF(Scenario2[winner1-ability1],OracleAbilities1Scenario2[[#This Row],[ability]])+COUNTIF(Scenario2[loser1-ability1],OracleAbilities1Scenario2[[#This Row],[ability]])</f>
        <v>4</v>
      </c>
      <c r="M45" s="20">
        <f>COUNTIF(Scenario2[winner1-ability1],OracleAbilities1Scenario2[[#This Row],[ability]])</f>
        <v>2</v>
      </c>
      <c r="N45" s="21">
        <f>IF(SUM(OracleAbilities1Scenario2[[#This Row],[takes]]) &gt; 0,OracleAbilities1Scenario2[[#This Row],[takes]]/SUM(OracleAbilities1Scenario2[takes]),0)</f>
        <v>0.2857142857142857</v>
      </c>
      <c r="O45" s="21">
        <f>IF(OracleAbilities1Scenario2[[#This Row],[takes]]&gt;0,OracleAbilities1Scenario2[[#This Row],[wins]]/OracleAbilities1Scenario2[[#This Row],[takes]],0)</f>
        <v>0.5</v>
      </c>
      <c r="P45" s="20"/>
      <c r="Q45" s="20">
        <v>1</v>
      </c>
      <c r="R45" s="20">
        <f>COUNTIFS(Scenario2[winner1],"oracle",Scenario2[winner1-pw],OracleEquipScenario2[[#This Row],[level]])+COUNTIFS(Scenario2[loser1],"oracle",Scenario2[loser1-pw],OracleEquipScenario2[[#This Row],[level]])</f>
        <v>6</v>
      </c>
      <c r="S45" s="22">
        <f>COUNTIFS(Scenario2[winner1],"oracle",Scenario2[winner1-cp],OracleEquipScenario2[[#This Row],[level]])+COUNTIFS(Scenario2[loser1],"oracle",Scenario2[loser1-cp],OracleEquipScenario2[[#This Row],[level]])</f>
        <v>5</v>
      </c>
    </row>
    <row r="46" spans="11:20" x14ac:dyDescent="0.4">
      <c r="K46" t="s">
        <v>65</v>
      </c>
      <c r="L46" s="20">
        <f>COUNTIF(Scenario2[winner1-ability1],OracleAbilities1Scenario2[[#This Row],[ability]])+COUNTIF(Scenario2[loser1-ability1],OracleAbilities1Scenario2[[#This Row],[ability]])</f>
        <v>0</v>
      </c>
      <c r="M46" s="20">
        <f>COUNTIF(Scenario2[winner1-ability1],OracleAbilities1Scenario2[[#This Row],[ability]])</f>
        <v>0</v>
      </c>
      <c r="N46" s="21">
        <f>IF(SUM(OracleAbilities1Scenario2[[#This Row],[takes]]) &gt; 0,OracleAbilities1Scenario2[[#This Row],[takes]]/SUM(OracleAbilities1Scenario2[takes]),0)</f>
        <v>0</v>
      </c>
      <c r="O46" s="21">
        <f>IF(OracleAbilities1Scenario2[[#This Row],[takes]]&gt;0,OracleAbilities1Scenario2[[#This Row],[wins]]/OracleAbilities1Scenario2[[#This Row],[takes]],0)</f>
        <v>0</v>
      </c>
      <c r="P46" s="20"/>
      <c r="Q46" s="20">
        <v>2</v>
      </c>
      <c r="R46" s="20">
        <f>COUNTIFS(Scenario2[winner1],"oracle",Scenario2[winner1-pw],OracleEquipScenario2[[#This Row],[level]])+COUNTIFS(Scenario2[loser1],"oracle",Scenario2[loser1-pw],OracleEquipScenario2[[#This Row],[level]])</f>
        <v>4</v>
      </c>
      <c r="S46" s="22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4">
      <c r="K47" t="s">
        <v>34</v>
      </c>
      <c r="L47" s="20">
        <f>COUNTIF(Scenario2[winner1-ability1],OracleAbilities1Scenario2[[#This Row],[ability]])+COUNTIF(Scenario2[loser1-ability1],OracleAbilities1Scenario2[[#This Row],[ability]])</f>
        <v>10</v>
      </c>
      <c r="M47" s="20">
        <f>COUNTIF(Scenario2[winner1-ability1],OracleAbilities1Scenario2[[#This Row],[ability]])</f>
        <v>3</v>
      </c>
      <c r="N47" s="21">
        <f>IF(SUM(OracleAbilities1Scenario2[[#This Row],[takes]]) &gt; 0,OracleAbilities1Scenario2[[#This Row],[takes]]/SUM(OracleAbilities1Scenario2[takes]),0)</f>
        <v>0.7142857142857143</v>
      </c>
      <c r="O47" s="21">
        <f>IF(OracleAbilities1Scenario2[[#This Row],[takes]]&gt;0,OracleAbilities1Scenario2[[#This Row],[wins]]/OracleAbilities1Scenario2[[#This Row],[takes]],0)</f>
        <v>0.3</v>
      </c>
      <c r="P47" s="20"/>
      <c r="Q47" s="20">
        <v>3</v>
      </c>
      <c r="R47" s="20">
        <f>COUNTIFS(Scenario2[winner1],"oracle",Scenario2[winner1-pw],OracleEquipScenario2[[#This Row],[level]])+COUNTIFS(Scenario2[loser1],"oracle",Scenario2[loser1-pw],OracleEquipScenario2[[#This Row],[level]])</f>
        <v>4</v>
      </c>
      <c r="S47" s="22">
        <f>COUNTIFS(Scenario2[winner1],"oracle",Scenario2[winner1-cp],OracleEquipScenario2[[#This Row],[level]])+COUNTIFS(Scenario2[loser1],"oracle",Scenario2[loser1-cp],OracleEquipScenario2[[#This Row],[level]])</f>
        <v>3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1</v>
      </c>
      <c r="M50" s="2">
        <f>COUNTIF(Scenario2[winner1-ability2],OracleAbilities2Scenario2[[#This Row],[ability]])</f>
        <v>1</v>
      </c>
      <c r="N50" s="13">
        <f>IF(SUM(OracleAbilities2Scenario2[[#This Row],[takes]]) &gt; 0,OracleAbilities2Scenario2[[#This Row],[takes]]/SUM(OracleAbilities2Scenario2[takes]),0)</f>
        <v>0.14285714285714285</v>
      </c>
      <c r="O50" s="13">
        <f>IF(OracleAbilities2Scenario2[[#This Row],[takes]]&gt;0,OracleAbilities2Scenario2[[#This Row],[wins]]/OracleAbilities2Scenario2[[#This Row],[takes]],0)</f>
        <v>1</v>
      </c>
      <c r="P50" s="20"/>
      <c r="Q50" s="20"/>
      <c r="R50" s="20"/>
      <c r="S50" s="22"/>
      <c r="T50" s="20"/>
    </row>
    <row r="51" spans="11:20" x14ac:dyDescent="0.4">
      <c r="K51" t="s">
        <v>130</v>
      </c>
      <c r="L51" s="2">
        <f>COUNTIF(Scenario2[winner1-ability2],OracleAbilities2Scenario2[[#This Row],[ability]])+COUNTIF(Scenario2[loser1-ability2],OracleAbilities2Scenario2[[#This Row],[ability]])</f>
        <v>1</v>
      </c>
      <c r="M51" s="2">
        <f>COUNTIF(Scenario2[winner1-ability2],OracleAbilities2Scenario2[[#This Row],[ability]])</f>
        <v>1</v>
      </c>
      <c r="N51" s="21">
        <f>IF(SUM(OracleAbilities2Scenario2[[#This Row],[takes]]) &gt; 0,OracleAbilities2Scenario2[[#This Row],[takes]]/SUM(OracleAbilities2Scenario2[takes]),0)</f>
        <v>0.14285714285714285</v>
      </c>
      <c r="O51" s="21">
        <f>IF(OracleAbilities2Scenario2[[#This Row],[takes]]&gt;0,OracleAbilities2Scenario2[[#This Row],[wins]]/OracleAbilities2Scenario2[[#This Row],[takes]],0)</f>
        <v>1</v>
      </c>
      <c r="P51" s="20"/>
      <c r="Q51" s="20"/>
      <c r="R51" s="20"/>
      <c r="S51" s="22"/>
      <c r="T51" s="20"/>
    </row>
    <row r="52" spans="11:20" x14ac:dyDescent="0.4">
      <c r="K52" s="11" t="s">
        <v>35</v>
      </c>
      <c r="L52" s="2">
        <f>COUNTIF(Scenario2[winner1-ability2],OracleAbilities2Scenario2[[#This Row],[ability]])+COUNTIF(Scenario2[loser1-ability2],OracleAbilities2Scenario2[[#This Row],[ability]])</f>
        <v>5</v>
      </c>
      <c r="M52" s="2">
        <f>COUNTIF(Scenario2[winner1-ability2],OracleAbilities2Scenario2[[#This Row],[ability]])</f>
        <v>2</v>
      </c>
      <c r="N52" s="14">
        <f>IF(SUM(OracleAbilities2Scenario2[[#This Row],[takes]]) &gt; 0,OracleAbilities2Scenario2[[#This Row],[takes]]/SUM(OracleAbilities2Scenario2[takes]),0)</f>
        <v>0.7142857142857143</v>
      </c>
      <c r="O52" s="14">
        <f>IF(OracleAbilities2Scenario2[[#This Row],[takes]]&gt;0,OracleAbilities2Scenario2[[#This Row],[wins]]/OracleAbilities2Scenario2[[#This Row],[takes]],0)</f>
        <v>0.4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0</v>
      </c>
      <c r="M55" s="1">
        <f>COUNTIF(Scenario2[winner1-ability3],OracleAbilities3Scenario2[[#This Row],[ability]])</f>
        <v>0</v>
      </c>
      <c r="N55" s="15">
        <f>IF(SUM(OracleAbilities3Scenario2[[#This Row],[takes]]) &gt; 0,OracleAbilities3Scenario2[[#This Row],[takes]]/SUM(OracleAbilities3Scenario2[takes]),0)</f>
        <v>0</v>
      </c>
      <c r="O55" s="15">
        <f>IF(OracleAbilities3Scenario2[[#This Row],[takes]]&gt;0,OracleAbilities3Scenario2[[#This Row],[wins]]/OracleAbilities3Scenario2[[#This Row],[takes]],0)</f>
        <v>0</v>
      </c>
      <c r="P55" s="20"/>
      <c r="Q55" s="20"/>
      <c r="R55" s="20"/>
      <c r="S55" s="22"/>
      <c r="T55" s="20"/>
    </row>
    <row r="56" spans="11:20" x14ac:dyDescent="0.4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1</v>
      </c>
      <c r="N56" s="13">
        <f>IF(SUM(OracleAbilities3Scenario2[[#This Row],[takes]]) &gt; 0,OracleAbilities3Scenario2[[#This Row],[takes]]/SUM(OracleAbilities3Scenario2[takes]),0)</f>
        <v>0.5</v>
      </c>
      <c r="O56" s="13">
        <f>IF(OracleAbilities3Scenario2[[#This Row],[takes]]&gt;0,OracleAbilities3Scenario2[[#This Row],[wins]]/OracleAbilities3Scenario2[[#This Row],[takes]],0)</f>
        <v>1</v>
      </c>
      <c r="P56" s="20"/>
      <c r="Q56" s="20"/>
      <c r="R56" s="20"/>
      <c r="S56" s="22"/>
      <c r="T56" s="20"/>
    </row>
    <row r="57" spans="11:20" x14ac:dyDescent="0.4">
      <c r="K57" s="12" t="s">
        <v>132</v>
      </c>
      <c r="L57" s="1">
        <f>COUNTIF(Scenario2[winner1-ability3],OracleAbilities3Scenario2[[#This Row],[ability]])+COUNTIF(Scenario2[loser1-ability3],OracleAbilities3Scenario2[[#This Row],[ability]])</f>
        <v>1</v>
      </c>
      <c r="M57" s="1">
        <f>COUNTIF(Scenario2[winner1-ability3],OracleAbilities3Scenario2[[#This Row],[ability]])</f>
        <v>1</v>
      </c>
      <c r="N57" s="16">
        <f>IF(SUM(OracleAbilities3Scenario2[[#This Row],[takes]]) &gt; 0,OracleAbilities3Scenario2[[#This Row],[takes]]/SUM(OracleAbilities3Scenario2[takes]),0)</f>
        <v>0.5</v>
      </c>
      <c r="O57" s="16">
        <f>IF(OracleAbilities3Scenario2[[#This Row],[takes]]&gt;0,OracleAbilities3Scenario2[[#This Row],[wins]]/OracleAbilities3Scenario2[[#This Row],[takes]],0)</f>
        <v>1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1</v>
      </c>
      <c r="M60" s="2">
        <f>COUNTIF(Scenario2[winner1-ability4],OracleAbilities4Scenario2[[#This Row],[ability]])</f>
        <v>1</v>
      </c>
      <c r="N60" s="13">
        <f>IF(SUM(OracleAbilities4Scenario2[[#This Row],[takes]]) &gt; 0,OracleAbilities4Scenario2[[#This Row],[takes]]/SUM(OracleAbilities4Scenario2[takes]),0)</f>
        <v>1</v>
      </c>
      <c r="O60" s="13">
        <f>IF(OracleAbilities4Scenario2[[#This Row],[takes]]&gt;0,OracleAbilities4Scenario2[[#This Row],[wins]]/OracleAbilities4Scenario2[[#This Row],[takes]],0)</f>
        <v>1</v>
      </c>
      <c r="P60" s="20"/>
      <c r="Q60" s="20"/>
      <c r="R60" s="20"/>
      <c r="S60" s="22"/>
      <c r="T60" s="20"/>
    </row>
    <row r="61" spans="11:20" x14ac:dyDescent="0.4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3">
        <f>IF(SUM(OracleAbilities4Scenario2[[#This Row],[takes]]) &gt; 0,OracleAbilities4Scenario2[[#This Row],[takes]]/SUM(OracleAbilities4Scenario2[takes]),0)</f>
        <v>0</v>
      </c>
      <c r="O61" s="13">
        <f>IF(OracleAbilities4Scenario2[[#This Row],[takes]]&gt;0,OracleAbilities4Scenario2[[#This Row],[wins]]/OracleAbilities4Scenario2[[#This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134</v>
      </c>
      <c r="L62" s="29">
        <f>COUNTIF(Scenario2[winner1-ability4],OracleAbilities4Scenario2[[#This Row],[ability]])+COUNTIF(Scenario2[loser1-ability4],OracleAbilities4Scenario2[[#This Row],[ability]])</f>
        <v>0</v>
      </c>
      <c r="M62" s="29">
        <f>COUNTIF(Scenario2[winner1-ability4],OracleAbilities4Scenario2[[#This Row],[ability]])</f>
        <v>0</v>
      </c>
      <c r="N62" s="30">
        <f>IF(SUM(OracleAbilities4Scenario2[[#This Row],[takes]]) &gt; 0,OracleAbilities4Scenario2[[#This Row],[takes]]/SUM(OracleAbilities4Scenario2[takes]),0)</f>
        <v>0</v>
      </c>
      <c r="O62" s="30">
        <f>IF(OracleAbilities4Scenario2[[#This Row],[takes]]&gt;0,OracleAbilities4Scenario2[[#This Row],[wins]]/OracleAbilities4Scenario2[[#This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1" t="s">
        <v>686</v>
      </c>
      <c r="L64" s="42"/>
      <c r="M64" s="42"/>
      <c r="N64" s="42"/>
      <c r="O64" s="42"/>
      <c r="P64" s="42"/>
      <c r="Q64" s="42"/>
      <c r="R64" s="42"/>
      <c r="S64" s="43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167</v>
      </c>
      <c r="S65" s="22" t="s">
        <v>164</v>
      </c>
    </row>
    <row r="66" spans="11:19" x14ac:dyDescent="0.4">
      <c r="K66" t="s">
        <v>46</v>
      </c>
      <c r="L66" s="20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</v>
      </c>
      <c r="M66" s="20">
        <f>COUNTIF(Scenario3[winner1-ability1],OracleAbilities1Scenario3[[#This Row],[ability]])</f>
        <v>0</v>
      </c>
      <c r="N66" s="21">
        <f>IF(SUM(OracleAbilities1Scenario3[[#This Row],[takes]]) &gt; 0,OracleAbilities1Scenario3[[#This Row],[takes]]/SUM(OracleAbilities1Scenario3[takes]),0)</f>
        <v>4.7619047619047616E-2</v>
      </c>
      <c r="O66" s="21">
        <f>IF(OracleAbilities1Scenario3[[#This Row],[takes]]&gt;0,OracleAbilities1Scenario3[[#This Row],[wins]]/OracleAbilities1Scenario3[[#This Row],[takes]],0)</f>
        <v>0</v>
      </c>
      <c r="P66" s="20"/>
      <c r="Q66" s="20">
        <v>1</v>
      </c>
      <c r="R66" s="20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6" s="22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7" spans="11:19" x14ac:dyDescent="0.4">
      <c r="K67" t="s">
        <v>65</v>
      </c>
      <c r="L67" s="20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 s="20">
        <f>COUNTIF(Scenario3[winner1-ability1],OracleAbilities1Scenario3[[#This Row],[ability]])</f>
        <v>0</v>
      </c>
      <c r="N67" s="21">
        <f>IF(SUM(OracleAbilities1Scenario3[[#This Row],[takes]]) &gt; 0,OracleAbilities1Scenario3[[#This Row],[takes]]/SUM(OracleAbilities1Scenario3[takes]),0)</f>
        <v>0</v>
      </c>
      <c r="O67" s="21">
        <f>IF(OracleAbilities1Scenario3[[#This Row],[takes]]&gt;0,OracleAbilities1Scenario3[[#This Row],[wins]]/OracleAbilities1Scenario3[[#This Row],[takes]],0)</f>
        <v>0</v>
      </c>
      <c r="P67" s="20"/>
      <c r="Q67" s="20">
        <v>2</v>
      </c>
      <c r="R67" s="20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7" s="22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6</v>
      </c>
    </row>
    <row r="68" spans="11:19" x14ac:dyDescent="0.4">
      <c r="K68" t="s">
        <v>34</v>
      </c>
      <c r="L68" s="20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20</v>
      </c>
      <c r="M68" s="20">
        <f>COUNTIF(Scenario3[winner1-ability1],OracleAbilities1Scenario3[[#This Row],[ability]])</f>
        <v>4</v>
      </c>
      <c r="N68" s="21">
        <f>IF(SUM(OracleAbilities1Scenario3[[#This Row],[takes]]) &gt; 0,OracleAbilities1Scenario3[[#This Row],[takes]]/SUM(OracleAbilities1Scenario3[takes]),0)</f>
        <v>0.95238095238095233</v>
      </c>
      <c r="O68" s="21">
        <f>IF(OracleAbilities1Scenario3[[#This Row],[takes]]&gt;0,OracleAbilities1Scenario3[[#This Row],[wins]]/OracleAbilities1Scenario3[[#This Row],[takes]],0)</f>
        <v>0.2</v>
      </c>
      <c r="P68" s="20"/>
      <c r="Q68" s="20">
        <v>3</v>
      </c>
      <c r="R68" s="20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8" s="22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10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7</v>
      </c>
      <c r="M71" s="2">
        <f>COUNTIF(Scenario3[winner1-ability2],OracleAbilities2Scenario3[[#This Row],[ability]])</f>
        <v>0</v>
      </c>
      <c r="N71" s="13">
        <f>IF(SUM(OracleAbilities2Scenario3[[#This Row],[takes]]) &gt; 0,OracleAbilities2Scenario3[[#This Row],[takes]]/SUM(OracleAbilities2Scenario3[takes]),0)</f>
        <v>0.36842105263157893</v>
      </c>
      <c r="O71" s="13">
        <f>IF(OracleAbilities2Scenario3[[#This Row],[takes]]&gt;0,OracleAbilities2Scenario3[[#This Row],[wins]]/OracleAbilities2Scenario3[[#This Row],[takes]],0)</f>
        <v>0</v>
      </c>
      <c r="P71" s="20"/>
      <c r="Q71" s="20"/>
      <c r="R71" s="20"/>
      <c r="S71" s="22"/>
    </row>
    <row r="72" spans="11:19" x14ac:dyDescent="0.4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3</v>
      </c>
      <c r="N72" s="21">
        <f>IF(SUM(OracleAbilities2Scenario3[[#This Row],[takes]]) &gt; 0,OracleAbilities2Scenario3[[#This Row],[takes]]/SUM(OracleAbilities2Scenario3[takes]),0)</f>
        <v>0.57894736842105265</v>
      </c>
      <c r="O72" s="21">
        <f>IF(OracleAbilities2Scenario3[[#This Row],[takes]]&gt;0,OracleAbilities2Scenario3[[#This Row],[wins]]/OracleAbilities2Scenario3[[#This Row],[takes]],0)</f>
        <v>0.27272727272727271</v>
      </c>
      <c r="P72" s="20"/>
      <c r="Q72" s="20"/>
      <c r="R72" s="20"/>
      <c r="S72" s="22"/>
    </row>
    <row r="73" spans="11:19" x14ac:dyDescent="0.4">
      <c r="K73" s="11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1</v>
      </c>
      <c r="N73" s="14">
        <f>IF(SUM(OracleAbilities2Scenario3[[#This Row],[takes]]) &gt; 0,OracleAbilities2Scenario3[[#This Row],[takes]]/SUM(OracleAbilities2Scenario3[takes]),0)</f>
        <v>5.2631578947368418E-2</v>
      </c>
      <c r="O73" s="14">
        <f>IF(OracleAbilities2Scenario3[[#This Row],[takes]]&gt;0,OracleAbilities2Scenario3[[#This Row],[wins]]/OracleAbilities2Scenario3[[#This Row],[takes]],0)</f>
        <v>1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5</v>
      </c>
      <c r="M76" s="1">
        <f>COUNTIF(Scenario3[winner1-ability3],OracleAbilities3Scenario3[[#This Row],[ability]])</f>
        <v>3</v>
      </c>
      <c r="N76" s="15">
        <f>IF(SUM(OracleAbilities3Scenario3[[#This Row],[takes]]) &gt; 0,OracleAbilities3Scenario3[[#This Row],[takes]]/SUM(OracleAbilities3Scenario3[takes]),0)</f>
        <v>0.29411764705882354</v>
      </c>
      <c r="O76" s="15">
        <f>IF(OracleAbilities3Scenario3[[#This Row],[takes]]&gt;0,OracleAbilities3Scenario3[[#This Row],[wins]]/OracleAbilities3Scenario3[[#This Row],[takes]],0)</f>
        <v>0.6</v>
      </c>
      <c r="P76" s="20"/>
      <c r="Q76" s="20"/>
      <c r="R76" s="20"/>
      <c r="S76" s="22"/>
    </row>
    <row r="77" spans="11:19" x14ac:dyDescent="0.4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7" s="2">
        <f>COUNTIF(Scenario3[winner1-ability3],OracleAbilities3Scenario3[[#This Row],[ability]])</f>
        <v>1</v>
      </c>
      <c r="N77" s="13">
        <f>IF(SUM(OracleAbilities3Scenario3[[#This Row],[takes]]) &gt; 0,OracleAbilities3Scenario3[[#This Row],[takes]]/SUM(OracleAbilities3Scenario3[takes]),0)</f>
        <v>0.41176470588235292</v>
      </c>
      <c r="O77" s="13">
        <f>IF(OracleAbilities3Scenario3[[#This Row],[takes]]&gt;0,OracleAbilities3Scenario3[[#This Row],[wins]]/OracleAbilities3Scenario3[[#This Row],[takes]],0)</f>
        <v>0.14285714285714285</v>
      </c>
      <c r="P77" s="20"/>
      <c r="Q77" s="20"/>
      <c r="R77" s="20"/>
      <c r="S77" s="22"/>
    </row>
    <row r="78" spans="11:19" x14ac:dyDescent="0.4">
      <c r="K78" s="12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5</v>
      </c>
      <c r="M78" s="1">
        <f>COUNTIF(Scenario3[winner1-ability3],OracleAbilities3Scenario3[[#This Row],[ability]])</f>
        <v>0</v>
      </c>
      <c r="N78" s="16">
        <f>IF(SUM(OracleAbilities3Scenario3[[#This Row],[takes]]) &gt; 0,OracleAbilities3Scenario3[[#This Row],[takes]]/SUM(OracleAbilities3Scenario3[takes]),0)</f>
        <v>0.29411764705882354</v>
      </c>
      <c r="O78" s="16">
        <f>IF(OracleAbilities3Scenario3[[#This Row],[takes]]&gt;0,OracleAbilities3Scenario3[[#This Row],[wins]]/OracleAbilities3Scenario3[[#This Row],[takes]],0)</f>
        <v>0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1" s="2">
        <f>COUNTIF(Scenario3[winner1-ability4],OracleAbilities4Scenario3[[#This Row],[ability]])</f>
        <v>0</v>
      </c>
      <c r="N81" s="13">
        <f>IF(SUM(OracleAbilities4Scenario3[[#This Row],[takes]]) &gt; 0,OracleAbilities4Scenario3[[#This Row],[takes]]/SUM(OracleAbilities4Scenario3[takes]),0)</f>
        <v>0.6</v>
      </c>
      <c r="O81" s="13">
        <f>IF(OracleAbilities4Scenario3[[#This Row],[takes]]&gt;0,OracleAbilities4Scenario3[[#This Row],[wins]]/OracleAbilities4Scenario3[[#This Row],[takes]],0)</f>
        <v>0</v>
      </c>
      <c r="P81" s="20"/>
      <c r="Q81" s="20"/>
      <c r="R81" s="20"/>
      <c r="S81" s="22"/>
    </row>
    <row r="82" spans="11:19" x14ac:dyDescent="0.4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</v>
      </c>
      <c r="M82" s="2">
        <f>COUNTIF(Scenario3[winner1-ability4],OracleAbilities4Scenario3[[#This Row],[ability]])</f>
        <v>0</v>
      </c>
      <c r="N82" s="13">
        <f>IF(SUM(OracleAbilities4Scenario3[[#This Row],[takes]]) &gt; 0,OracleAbilities4Scenario3[[#This Row],[takes]]/SUM(OracleAbilities4Scenario3[takes]),0)</f>
        <v>0.1</v>
      </c>
      <c r="O82" s="13">
        <f>IF(OracleAbilities4Scenario3[[#This Row],[takes]]&gt;0,OracleAbilities4Scenario3[[#This Row],[wins]]/OracleAbilities4Scenario3[[#This Row],[takes]],0)</f>
        <v>0</v>
      </c>
      <c r="P82" s="20"/>
      <c r="Q82" s="20"/>
      <c r="R82" s="20"/>
      <c r="S82" s="22"/>
    </row>
    <row r="83" spans="11:19" ht="15" thickBot="1" x14ac:dyDescent="0.45">
      <c r="K83" s="11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3" s="2">
        <f>COUNTIF(Scenario3[winner1-ability4],OracleAbilities4Scenario3[[#This Row],[ability]])</f>
        <v>1</v>
      </c>
      <c r="N83" s="30">
        <f>IF(SUM(OracleAbilities4Scenario3[[#This Row],[takes]]) &gt; 0,OracleAbilities4Scenario3[[#This Row],[takes]]/SUM(OracleAbilities4Scenario3[takes]),0)</f>
        <v>0.3</v>
      </c>
      <c r="O83" s="30">
        <f>IF(OracleAbilities4Scenario3[[#This Row],[takes]]&gt;0,OracleAbilities4Scenario3[[#This Row],[wins]]/OracleAbilities4Scenario3[[#This Row],[takes]],0)</f>
        <v>0.33333333333333331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1" t="s">
        <v>752</v>
      </c>
      <c r="L85" s="42"/>
      <c r="M85" s="42"/>
      <c r="N85" s="42"/>
      <c r="O85" s="42"/>
      <c r="P85" s="42"/>
      <c r="Q85" s="42"/>
      <c r="R85" s="42"/>
      <c r="S85" s="43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167</v>
      </c>
      <c r="S86" s="22" t="s">
        <v>164</v>
      </c>
    </row>
    <row r="87" spans="11:19" x14ac:dyDescent="0.4">
      <c r="K87" t="s">
        <v>46</v>
      </c>
      <c r="L87" s="20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</v>
      </c>
      <c r="M87" s="20">
        <f>COUNTIF(Scenario4[winner1-ability1],OracleAbilities1Scenario4[[#This Row],[ability]])</f>
        <v>0</v>
      </c>
      <c r="N87" s="21">
        <f>IF(SUM(OracleAbilities1Scenario4[[#This Row],[takes]]) &gt; 0,OracleAbilities1Scenario4[[#This Row],[takes]]/SUM(OracleAbilities1Scenario4[takes]),0)</f>
        <v>5.7142857142857141E-2</v>
      </c>
      <c r="O87" s="21">
        <f>IF(OracleAbilities1Scenario4[[#This Row],[takes]]&gt;0,OracleAbilities1Scenario4[[#This Row],[wins]]/OracleAbilities1Scenario4[[#This Row],[takes]],0)</f>
        <v>0</v>
      </c>
      <c r="P87" s="20"/>
      <c r="Q87" s="20">
        <v>1</v>
      </c>
      <c r="R87" s="20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6</v>
      </c>
      <c r="S87" s="22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</v>
      </c>
    </row>
    <row r="88" spans="11:19" x14ac:dyDescent="0.4">
      <c r="K88" t="s">
        <v>65</v>
      </c>
      <c r="L88" s="20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 s="20">
        <f>COUNTIF(Scenario4[winner1-ability1],OracleAbilities1Scenario4[[#This Row],[ability]])</f>
        <v>0</v>
      </c>
      <c r="N88" s="21">
        <f>IF(SUM(OracleAbilities1Scenario4[[#This Row],[takes]]) &gt; 0,OracleAbilities1Scenario4[[#This Row],[takes]]/SUM(OracleAbilities1Scenario4[takes]),0)</f>
        <v>0</v>
      </c>
      <c r="O88" s="21">
        <f>IF(OracleAbilities1Scenario4[[#This Row],[takes]]&gt;0,OracleAbilities1Scenario4[[#This Row],[wins]]/OracleAbilities1Scenario4[[#This Row],[takes]],0)</f>
        <v>0</v>
      </c>
      <c r="P88" s="20"/>
      <c r="Q88" s="20">
        <v>2</v>
      </c>
      <c r="R88" s="20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10</v>
      </c>
      <c r="S88" s="22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7</v>
      </c>
    </row>
    <row r="89" spans="11:19" x14ac:dyDescent="0.4">
      <c r="K89" t="s">
        <v>34</v>
      </c>
      <c r="L89" s="20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33</v>
      </c>
      <c r="M89" s="20">
        <f>COUNTIF(Scenario4[winner1-ability1],OracleAbilities1Scenario4[[#This Row],[ability]])</f>
        <v>14</v>
      </c>
      <c r="N89" s="21">
        <f>IF(SUM(OracleAbilities1Scenario4[[#This Row],[takes]]) &gt; 0,OracleAbilities1Scenario4[[#This Row],[takes]]/SUM(OracleAbilities1Scenario4[takes]),0)</f>
        <v>0.94285714285714284</v>
      </c>
      <c r="O89" s="21">
        <f>IF(OracleAbilities1Scenario4[[#This Row],[takes]]&gt;0,OracleAbilities1Scenario4[[#This Row],[wins]]/OracleAbilities1Scenario4[[#This Row],[takes]],0)</f>
        <v>0.42424242424242425</v>
      </c>
      <c r="P89" s="20"/>
      <c r="Q89" s="20">
        <v>3</v>
      </c>
      <c r="R89" s="20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19</v>
      </c>
      <c r="S89" s="22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25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3</v>
      </c>
      <c r="M92" s="2">
        <f>COUNTIF(Scenario4[winner1-ability2],OracleAbilities2Scenario4[[#This Row],[ability]])</f>
        <v>2</v>
      </c>
      <c r="N92" s="13">
        <f>IF(SUM(OracleAbilities2Scenario4[[#This Row],[takes]]) &gt; 0,OracleAbilities2Scenario4[[#This Row],[takes]]/SUM(OracleAbilities2Scenario4[takes]),0)</f>
        <v>0.1</v>
      </c>
      <c r="O92" s="13">
        <f>IF(OracleAbilities2Scenario4[[#This Row],[takes]]&gt;0,OracleAbilities2Scenario4[[#This Row],[wins]]/OracleAbilities2Scenario4[[#This Row],[takes]],0)</f>
        <v>0.66666666666666663</v>
      </c>
      <c r="P92" s="20"/>
      <c r="Q92" s="20"/>
      <c r="R92" s="20"/>
      <c r="S92" s="22"/>
    </row>
    <row r="93" spans="11:19" x14ac:dyDescent="0.4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26</v>
      </c>
      <c r="M93" s="2">
        <f>COUNTIF(Scenario4[winner1-ability2],OracleAbilities2Scenario4[[#This Row],[ability]])</f>
        <v>12</v>
      </c>
      <c r="N93" s="21">
        <f>IF(SUM(OracleAbilities2Scenario4[[#This Row],[takes]]) &gt; 0,OracleAbilities2Scenario4[[#This Row],[takes]]/SUM(OracleAbilities2Scenario4[takes]),0)</f>
        <v>0.8666666666666667</v>
      </c>
      <c r="O93" s="21">
        <f>IF(OracleAbilities2Scenario4[[#This Row],[takes]]&gt;0,OracleAbilities2Scenario4[[#This Row],[wins]]/OracleAbilities2Scenario4[[#This Row],[takes]],0)</f>
        <v>0.46153846153846156</v>
      </c>
      <c r="P93" s="20"/>
      <c r="Q93" s="20"/>
      <c r="R93" s="20"/>
      <c r="S93" s="22"/>
    </row>
    <row r="94" spans="11:19" x14ac:dyDescent="0.4">
      <c r="K94" s="11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</v>
      </c>
      <c r="M94" s="2">
        <f>COUNTIF(Scenario4[winner1-ability2],OracleAbilities2Scenario4[[#This Row],[ability]])</f>
        <v>0</v>
      </c>
      <c r="N94" s="14">
        <f>IF(SUM(OracleAbilities2Scenario4[[#This Row],[takes]]) &gt; 0,OracleAbilities2Scenario4[[#This Row],[takes]]/SUM(OracleAbilities2Scenario4[takes]),0)</f>
        <v>3.3333333333333333E-2</v>
      </c>
      <c r="O94" s="14">
        <f>IF(OracleAbilities2Scenario4[[#This Row],[takes]]&gt;0,OracleAbilities2Scenario4[[#This Row],[wins]]/OracleAbilities2Scenario4[[#This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3</v>
      </c>
      <c r="M97" s="1">
        <f>COUNTIF(Scenario4[winner1-ability3],OracleAbilities3Scenario4[[#This Row],[ability]])</f>
        <v>1</v>
      </c>
      <c r="N97" s="15">
        <f>IF(SUM(OracleAbilities3Scenario4[[#This Row],[takes]]) &gt; 0,OracleAbilities3Scenario4[[#This Row],[takes]]/SUM(OracleAbilities3Scenario4[takes]),0)</f>
        <v>0.10714285714285714</v>
      </c>
      <c r="O97" s="15">
        <f>IF(OracleAbilities3Scenario4[[#This Row],[takes]]&gt;0,OracleAbilities3Scenario4[[#This Row],[wins]]/OracleAbilities3Scenario4[[#This Row],[takes]],0)</f>
        <v>0.33333333333333331</v>
      </c>
      <c r="P97" s="20"/>
      <c r="Q97" s="20"/>
      <c r="R97" s="20"/>
      <c r="S97" s="22"/>
    </row>
    <row r="98" spans="11:19" x14ac:dyDescent="0.4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6</v>
      </c>
      <c r="M98" s="2">
        <f>COUNTIF(Scenario4[winner1-ability3],OracleAbilities3Scenario4[[#This Row],[ability]])</f>
        <v>3</v>
      </c>
      <c r="N98" s="13">
        <f>IF(SUM(OracleAbilities3Scenario4[[#This Row],[takes]]) &gt; 0,OracleAbilities3Scenario4[[#This Row],[takes]]/SUM(OracleAbilities3Scenario4[takes]),0)</f>
        <v>0.21428571428571427</v>
      </c>
      <c r="O98" s="13">
        <f>IF(OracleAbilities3Scenario4[[#This Row],[takes]]&gt;0,OracleAbilities3Scenario4[[#This Row],[wins]]/OracleAbilities3Scenario4[[#This Row],[takes]],0)</f>
        <v>0.5</v>
      </c>
      <c r="P98" s="20"/>
      <c r="Q98" s="20"/>
      <c r="R98" s="20"/>
      <c r="S98" s="22"/>
    </row>
    <row r="99" spans="11:19" x14ac:dyDescent="0.4">
      <c r="K99" s="12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19</v>
      </c>
      <c r="M99" s="1">
        <f>COUNTIF(Scenario4[winner1-ability3],OracleAbilities3Scenario4[[#This Row],[ability]])</f>
        <v>10</v>
      </c>
      <c r="N99" s="16">
        <f>IF(SUM(OracleAbilities3Scenario4[[#This Row],[takes]]) &gt; 0,OracleAbilities3Scenario4[[#This Row],[takes]]/SUM(OracleAbilities3Scenario4[takes]),0)</f>
        <v>0.6785714285714286</v>
      </c>
      <c r="O99" s="16">
        <f>IF(OracleAbilities3Scenario4[[#This Row],[takes]]&gt;0,OracleAbilities3Scenario4[[#This Row],[wins]]/OracleAbilities3Scenario4[[#This Row],[takes]],0)</f>
        <v>0.52631578947368418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21</v>
      </c>
      <c r="M102" s="2">
        <f>COUNTIF(Scenario4[winner1-ability4],OracleAbilities4Scenario4[[#This Row],[ability]])</f>
        <v>10</v>
      </c>
      <c r="N102" s="13">
        <f>IF(SUM(OracleAbilities4Scenario4[[#This Row],[takes]]) &gt; 0,OracleAbilities4Scenario4[[#This Row],[takes]]/SUM(OracleAbilities4Scenario4[takes]),0)</f>
        <v>0.80769230769230771</v>
      </c>
      <c r="O102" s="13">
        <f>IF(OracleAbilities4Scenario4[[#This Row],[takes]]&gt;0,OracleAbilities4Scenario4[[#This Row],[wins]]/OracleAbilities4Scenario4[[#This Row],[takes]],0)</f>
        <v>0.47619047619047616</v>
      </c>
      <c r="P102" s="20"/>
      <c r="Q102" s="20"/>
      <c r="R102" s="20"/>
      <c r="S102" s="22"/>
    </row>
    <row r="103" spans="11:19" x14ac:dyDescent="0.4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4</v>
      </c>
      <c r="M103" s="2">
        <f>COUNTIF(Scenario4[winner1-ability4],OracleAbilities4Scenario4[[#This Row],[ability]])</f>
        <v>2</v>
      </c>
      <c r="N103" s="13">
        <f>IF(SUM(OracleAbilities4Scenario4[[#This Row],[takes]]) &gt; 0,OracleAbilities4Scenario4[[#This Row],[takes]]/SUM(OracleAbilities4Scenario4[takes]),0)</f>
        <v>0.15384615384615385</v>
      </c>
      <c r="O103" s="13">
        <f>IF(OracleAbilities4Scenario4[[#This Row],[takes]]&gt;0,OracleAbilities4Scenario4[[#This Row],[wins]]/OracleAbilities4Scenario4[[#This Row],[takes]],0)</f>
        <v>0.5</v>
      </c>
      <c r="P103" s="20"/>
      <c r="Q103" s="20"/>
      <c r="R103" s="20"/>
      <c r="S103" s="22"/>
    </row>
    <row r="104" spans="11:19" ht="15" thickBot="1" x14ac:dyDescent="0.45">
      <c r="K104" s="11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4" s="2">
        <f>COUNTIF(Scenario4[winner1-ability4],OracleAbilities4Scenario4[[#This Row],[ability]])</f>
        <v>1</v>
      </c>
      <c r="N104" s="30">
        <f>IF(SUM(OracleAbilities4Scenario4[[#This Row],[takes]]) &gt; 0,OracleAbilities4Scenario4[[#This Row],[takes]]/SUM(OracleAbilities4Scenario4[takes]),0)</f>
        <v>3.8461538461538464E-2</v>
      </c>
      <c r="O104" s="30">
        <f>IF(OracleAbilities4Scenario4[[#This Row],[takes]]&gt;0,OracleAbilities4Scenario4[[#This Row],[wins]]/OracleAbilities4Scenario4[[#This Row],[takes]],0)</f>
        <v>1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1" t="s">
        <v>824</v>
      </c>
      <c r="L106" s="42"/>
      <c r="M106" s="42"/>
      <c r="N106" s="42"/>
      <c r="O106" s="42"/>
      <c r="P106" s="42"/>
      <c r="Q106" s="42"/>
      <c r="R106" s="42"/>
      <c r="S106" s="43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167</v>
      </c>
      <c r="S107" s="22" t="s">
        <v>164</v>
      </c>
    </row>
    <row r="108" spans="11:19" x14ac:dyDescent="0.4">
      <c r="K108" t="s">
        <v>46</v>
      </c>
      <c r="L108" s="2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4</v>
      </c>
      <c r="M108" s="20">
        <f>COUNTIF(Scenario5[winner1-ability1],OracleAbilities1Scenario5[[#This Row],[ability]])+COUNTIF(Scenario5[winner2-ability1],OracleAbilities1Scenario5[[#This Row],[ability]])</f>
        <v>3</v>
      </c>
      <c r="N108" s="21">
        <f>IF(SUM(OracleAbilities1Scenario5[[#This Row],[takes]]) &gt; 0,OracleAbilities1Scenario5[[#This Row],[takes]]/SUM(OracleAbilities1Scenario5[takes]),0)</f>
        <v>0.8</v>
      </c>
      <c r="O108" s="21">
        <f>IF(OracleAbilities1Scenario5[[#This Row],[takes]]&gt;0,OracleAbilities1Scenario5[[#This Row],[wins]]/OracleAbilities1Scenario5[[#This Row],[takes]],0)</f>
        <v>0.75</v>
      </c>
      <c r="P108" s="20"/>
      <c r="Q108" s="20">
        <v>1</v>
      </c>
      <c r="R108" s="2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</v>
      </c>
      <c r="S108" s="22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</v>
      </c>
    </row>
    <row r="109" spans="11:19" x14ac:dyDescent="0.4">
      <c r="K109" t="s">
        <v>65</v>
      </c>
      <c r="L109" s="2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9" s="20">
        <f>COUNTIF(Scenario5[winner1-ability1],OracleAbilities1Scenario5[[#This Row],[ability]])+COUNTIF(Scenario5[winner2-ability1],OracleAbilities1Scenario5[[#This Row],[ability]])</f>
        <v>0</v>
      </c>
      <c r="N109" s="21">
        <f>IF(SUM(OracleAbilities1Scenario5[[#This Row],[takes]]) &gt; 0,OracleAbilities1Scenario5[[#This Row],[takes]]/SUM(OracleAbilities1Scenario5[takes]),0)</f>
        <v>0</v>
      </c>
      <c r="O109" s="21">
        <f>IF(OracleAbilities1Scenario5[[#This Row],[takes]]&gt;0,OracleAbilities1Scenario5[[#This Row],[wins]]/OracleAbilities1Scenario5[[#This Row],[takes]],0)</f>
        <v>0</v>
      </c>
      <c r="P109" s="20"/>
      <c r="Q109" s="20">
        <v>2</v>
      </c>
      <c r="R109" s="2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</v>
      </c>
      <c r="S109" s="22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</v>
      </c>
    </row>
    <row r="110" spans="11:19" x14ac:dyDescent="0.4">
      <c r="K110" t="s">
        <v>34</v>
      </c>
      <c r="L110" s="2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1</v>
      </c>
      <c r="M110" s="20">
        <f>COUNTIF(Scenario5[winner1-ability1],OracleAbilities1Scenario5[[#This Row],[ability]])+COUNTIF(Scenario5[winner2-ability1],OracleAbilities1Scenario5[[#This Row],[ability]])</f>
        <v>0</v>
      </c>
      <c r="N110" s="21">
        <f>IF(SUM(OracleAbilities1Scenario5[[#This Row],[takes]]) &gt; 0,OracleAbilities1Scenario5[[#This Row],[takes]]/SUM(OracleAbilities1Scenario5[takes]),0)</f>
        <v>0.2</v>
      </c>
      <c r="O110" s="21">
        <f>IF(OracleAbilities1Scenario5[[#This Row],[takes]]&gt;0,OracleAbilities1Scenario5[[#This Row],[wins]]/OracleAbilities1Scenario5[[#This Row],[takes]],0)</f>
        <v>0</v>
      </c>
      <c r="P110" s="20"/>
      <c r="Q110" s="20">
        <v>3</v>
      </c>
      <c r="R110" s="2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0</v>
      </c>
      <c r="S110" s="22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0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3" s="2">
        <f>COUNTIF(Scenario5[winner1-ability2],OracleAbilities2Scenario5[[#This Row],[ability]])+COUNTIF(Scenario5[winner2-ability2],OracleAbilities2Scenario5[[#This Row],[ability]])</f>
        <v>0</v>
      </c>
      <c r="N113" s="13">
        <f>IF(SUM(OracleAbilities2Scenario5[[#This Row],[takes]]) &gt; 0,OracleAbilities2Scenario5[[#This Row],[takes]]/SUM(OracleAbilities2Scenario5[takes]),0)</f>
        <v>0</v>
      </c>
      <c r="O113" s="13">
        <f>IF(OracleAbilities2Scenario5[[#This Row],[takes]]&gt;0,OracleAbilities2Scenario5[[#This Row],[wins]]/OracleAbilities2Scenario5[[#This Row],[takes]],0)</f>
        <v>0</v>
      </c>
      <c r="P113" s="20"/>
      <c r="Q113" s="20"/>
      <c r="R113" s="20"/>
      <c r="S113" s="22"/>
    </row>
    <row r="114" spans="11:19" x14ac:dyDescent="0.4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5</v>
      </c>
      <c r="M114" s="2">
        <f>COUNTIF(Scenario5[winner1-ability2],OracleAbilities2Scenario5[[#This Row],[ability]])+COUNTIF(Scenario5[winner2-ability2],OracleAbilities2Scenario5[[#This Row],[ability]])</f>
        <v>3</v>
      </c>
      <c r="N114" s="21">
        <f>IF(SUM(OracleAbilities2Scenario5[[#This Row],[takes]]) &gt; 0,OracleAbilities2Scenario5[[#This Row],[takes]]/SUM(OracleAbilities2Scenario5[takes]),0)</f>
        <v>1</v>
      </c>
      <c r="O114" s="21">
        <f>IF(OracleAbilities2Scenario5[[#This Row],[takes]]&gt;0,OracleAbilities2Scenario5[[#This Row],[wins]]/OracleAbilities2Scenario5[[#This Row],[takes]],0)</f>
        <v>0.6</v>
      </c>
      <c r="P114" s="20"/>
      <c r="Q114" s="20"/>
      <c r="R114" s="20"/>
      <c r="S114" s="22"/>
    </row>
    <row r="115" spans="11:19" x14ac:dyDescent="0.4">
      <c r="K115" s="11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5" s="2">
        <f>COUNTIF(Scenario5[winner1-ability2],OracleAbilities2Scenario5[[#This Row],[ability]])+COUNTIF(Scenario5[winner2-ability2],OracleAbilities2Scenario5[[#This Row],[ability]])</f>
        <v>0</v>
      </c>
      <c r="N115" s="14">
        <f>IF(SUM(OracleAbilities2Scenario5[[#This Row],[takes]]) &gt; 0,OracleAbilities2Scenario5[[#This Row],[takes]]/SUM(OracleAbilities2Scenario5[takes]),0)</f>
        <v>0</v>
      </c>
      <c r="O115" s="14">
        <f>IF(OracleAbilities2Scenario5[[#This Row],[takes]]&gt;0,OracleAbilities2Scenario5[[#This Row],[wins]]/OracleAbilities2Scenario5[[#This Row],[takes]],0)</f>
        <v>0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3</v>
      </c>
      <c r="M118" s="1">
        <f>COUNTIF(Scenario5[winner1-ability3],OracleAbilities3Scenario5[[#This Row],[ability]])+COUNTIF(Scenario5[winner2-ability3],OracleAbilities3Scenario5[[#This Row],[ability]])</f>
        <v>2</v>
      </c>
      <c r="N118" s="15">
        <f>IF(SUM(OracleAbilities3Scenario5[[#This Row],[takes]]) &gt; 0,OracleAbilities3Scenario5[[#This Row],[takes]]/SUM(OracleAbilities3Scenario5[takes]),0)</f>
        <v>0.6</v>
      </c>
      <c r="O118" s="15">
        <f>IF(OracleAbilities3Scenario5[[#This Row],[takes]]&gt;0,OracleAbilities3Scenario5[[#This Row],[wins]]/OracleAbilities3Scenario5[[#This Row],[takes]],0)</f>
        <v>0.66666666666666663</v>
      </c>
      <c r="P118" s="20"/>
      <c r="Q118" s="20"/>
      <c r="R118" s="20"/>
      <c r="S118" s="22"/>
    </row>
    <row r="119" spans="11:19" x14ac:dyDescent="0.4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19" s="2">
        <f>COUNTIF(Scenario5[winner1-ability3],OracleAbilities3Scenario5[[#This Row],[ability]])+COUNTIF(Scenario5[winner2-ability3],OracleAbilities3Scenario5[[#This Row],[ability]])</f>
        <v>0</v>
      </c>
      <c r="N119" s="13">
        <f>IF(SUM(OracleAbilities3Scenario5[[#This Row],[takes]]) &gt; 0,OracleAbilities3Scenario5[[#This Row],[takes]]/SUM(OracleAbilities3Scenario5[takes]),0)</f>
        <v>0</v>
      </c>
      <c r="O119" s="13">
        <f>IF(OracleAbilities3Scenario5[[#This Row],[takes]]&gt;0,OracleAbilities3Scenario5[[#This Row],[wins]]/OracleAbilities3Scenario5[[#This Row],[takes]],0)</f>
        <v>0</v>
      </c>
      <c r="P119" s="20"/>
      <c r="Q119" s="20"/>
      <c r="R119" s="20"/>
      <c r="S119" s="22"/>
    </row>
    <row r="120" spans="11:19" x14ac:dyDescent="0.4">
      <c r="K120" s="12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</v>
      </c>
      <c r="M120" s="1">
        <f>COUNTIF(Scenario5[winner1-ability3],OracleAbilities3Scenario5[[#This Row],[ability]])+COUNTIF(Scenario5[winner2-ability3],OracleAbilities3Scenario5[[#This Row],[ability]])</f>
        <v>1</v>
      </c>
      <c r="N120" s="16">
        <f>IF(SUM(OracleAbilities3Scenario5[[#This Row],[takes]]) &gt; 0,OracleAbilities3Scenario5[[#This Row],[takes]]/SUM(OracleAbilities3Scenario5[takes]),0)</f>
        <v>0.4</v>
      </c>
      <c r="O120" s="16">
        <f>IF(OracleAbilities3Scenario5[[#This Row],[takes]]&gt;0,OracleAbilities3Scenario5[[#This Row],[wins]]/OracleAbilities3Scenario5[[#This Row],[takes]],0)</f>
        <v>0.5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3" s="2">
        <f>COUNTIF(Scenario5[winner1-ability4],OracleAbilities4Scenario5[[#This Row],[ability]])+COUNTIF(Scenario5[winner2-ability4],OracleAbilities4Scenario5[[#This Row],[ability]])</f>
        <v>0</v>
      </c>
      <c r="N123" s="13">
        <f>IF(SUM(OracleAbilities4Scenario5[[#This Row],[takes]]) &gt; 0,OracleAbilities4Scenario5[[#This Row],[takes]]/SUM(OracleAbilities4Scenario5[takes]),0)</f>
        <v>0</v>
      </c>
      <c r="O123" s="13">
        <f>IF(OracleAbilities4Scenario5[[#This Row],[takes]]&gt;0,OracleAbilities4Scenario5[[#This Row],[wins]]/OracleAbilities4Scenario5[[#This Row],[takes]],0)</f>
        <v>0</v>
      </c>
      <c r="P123" s="20"/>
      <c r="Q123" s="20"/>
      <c r="R123" s="20"/>
      <c r="S123" s="22"/>
    </row>
    <row r="124" spans="11:19" x14ac:dyDescent="0.4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3">
        <f>IF(SUM(OracleAbilities4Scenario5[[#This Row],[takes]]) &gt; 0,OracleAbilities4Scenario5[[#This Row],[takes]]/SUM(OracleAbilities4Scenario5[takes]),0)</f>
        <v>0</v>
      </c>
      <c r="O124" s="13">
        <f>IF(OracleAbilities4Scenario5[[#This Row],[takes]]&gt;0,OracleAbilities4Scenario5[[#This Row],[wins]]/OracleAbilities4Scenario5[[#This Row],[takes]],0)</f>
        <v>0</v>
      </c>
      <c r="P124" s="20"/>
      <c r="Q124" s="20"/>
      <c r="R124" s="20"/>
      <c r="S124" s="22"/>
    </row>
    <row r="125" spans="11:19" ht="15" thickBot="1" x14ac:dyDescent="0.45">
      <c r="K125" s="11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</v>
      </c>
      <c r="M125" s="2">
        <f>COUNTIF(Scenario5[winner1-ability4],OracleAbilities4Scenario5[[#This Row],[ability]])+COUNTIF(Scenario5[winner2-ability4],OracleAbilities4Scenario5[[#This Row],[ability]])</f>
        <v>1</v>
      </c>
      <c r="N125" s="30">
        <f>IF(SUM(OracleAbilities4Scenario5[[#This Row],[takes]]) &gt; 0,OracleAbilities4Scenario5[[#This Row],[takes]]/SUM(OracleAbilities4Scenario5[takes]),0)</f>
        <v>1</v>
      </c>
      <c r="O125" s="30">
        <f>IF(OracleAbilities4Scenario5[[#This Row],[takes]]&gt;0,OracleAbilities4Scenario5[[#This Row],[wins]]/OracleAbilities4Scenario5[[#This Row],[takes]],0)</f>
        <v>0.5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topLeftCell="D1" workbookViewId="0">
      <selection activeCell="U15" sqref="U15"/>
    </sheetView>
  </sheetViews>
  <sheetFormatPr defaultRowHeight="14.6" x14ac:dyDescent="0.4"/>
  <cols>
    <col min="1" max="1" width="17.76562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9.15234375" bestFit="1" customWidth="1"/>
    <col min="9" max="9" width="11.84375" bestFit="1" customWidth="1"/>
    <col min="10" max="10" width="3.84375" customWidth="1"/>
    <col min="11" max="11" width="17.76562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9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3"/>
      <c r="K1" s="41" t="s">
        <v>392</v>
      </c>
      <c r="L1" s="42"/>
      <c r="M1" s="42"/>
      <c r="N1" s="42"/>
      <c r="O1" s="42"/>
      <c r="P1" s="42"/>
      <c r="Q1" s="42"/>
      <c r="R1" s="42"/>
      <c r="S1" s="43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168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168</v>
      </c>
      <c r="S2" s="22" t="s">
        <v>164</v>
      </c>
      <c r="T2" s="20"/>
      <c r="U2" t="s">
        <v>409</v>
      </c>
      <c r="V2" s="3">
        <f>H4/SUM(AvatarEquip[bracers])</f>
        <v>0.35789473684210527</v>
      </c>
    </row>
    <row r="3" spans="1:22" x14ac:dyDescent="0.4">
      <c r="A3" t="s">
        <v>44</v>
      </c>
      <c r="B3" s="20">
        <f>L3+L24+L45+L66+L87+L108</f>
        <v>48</v>
      </c>
      <c r="C3" s="20">
        <f>M3+M24+M45+M66+M87+M108</f>
        <v>21</v>
      </c>
      <c r="D3" s="21">
        <f>IF(SUM(AvatarAbilities1[[#This Row],[takes]]) &gt; 0,AvatarAbilities1[[#This Row],[takes]]/SUM(AvatarAbilities1[takes]),0)</f>
        <v>0.16842105263157894</v>
      </c>
      <c r="E3" s="21">
        <f>IF(AvatarAbilities1[[#This Row],[takes]]&gt;0,AvatarAbilities1[[#This Row],[wins]]/AvatarAbilities1[[#This Row],[takes]],0)</f>
        <v>0.4375</v>
      </c>
      <c r="F3" s="20"/>
      <c r="G3" s="20">
        <v>1</v>
      </c>
      <c r="H3" s="20">
        <f>R3+R24+R45+R66+R87+R108</f>
        <v>113</v>
      </c>
      <c r="I3" s="22">
        <f>S3+S24+S45+S66+S87+S108</f>
        <v>198</v>
      </c>
      <c r="K3" t="s">
        <v>44</v>
      </c>
      <c r="L3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 s="20">
        <f>COUNTIF(Scenario0[winner1-ability1],AvatarAbilities1Scenario0[[#This Row],[ability]])+COUNTIF(Scenario0[winner2-ability1],AvatarAbilities1Scenario0[[#This Row],[ability]])</f>
        <v>0</v>
      </c>
      <c r="N3" s="21">
        <f>IF(SUM(AvatarAbilities1Scenario0[[#This Row],[takes]]) &gt; 0,AvatarAbilities1Scenario0[[#This Row],[takes]]/SUM(AvatarAbilities1Scenario0[takes]),0)</f>
        <v>0</v>
      </c>
      <c r="O3" s="21">
        <f>IF(AvatarAbilities1Scenario0[[#This Row],[takes]]&gt;0,AvatarAbilities1Scenario0[[#This Row],[wins]]/AvatarAbilities1Scenario0[[#This Row],[takes]],0)</f>
        <v>0</v>
      </c>
      <c r="P3" s="20"/>
      <c r="Q3" s="20">
        <v>1</v>
      </c>
      <c r="R3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49</v>
      </c>
      <c r="S3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80</v>
      </c>
      <c r="T3" s="20"/>
      <c r="U3" t="s">
        <v>410</v>
      </c>
      <c r="V3" s="18">
        <f>H5/SUM(AvatarEquip[bracers])</f>
        <v>0.24561403508771928</v>
      </c>
    </row>
    <row r="4" spans="1:22" x14ac:dyDescent="0.4">
      <c r="A4" t="s">
        <v>135</v>
      </c>
      <c r="B4" s="20">
        <f t="shared" ref="B4:B5" si="0">L4+L25+L46+L67+L88+L109</f>
        <v>225</v>
      </c>
      <c r="C4" s="20">
        <f t="shared" ref="C4:C5" si="1">M4+M25+M46+M67+M88+M109</f>
        <v>121</v>
      </c>
      <c r="D4" s="21">
        <f>IF(SUM(AvatarAbilities1[[#This Row],[takes]]) &gt; 0,AvatarAbilities1[[#This Row],[takes]]/SUM(AvatarAbilities1[takes]),0)</f>
        <v>0.78947368421052633</v>
      </c>
      <c r="E4" s="21">
        <f>IF(AvatarAbilities1[[#This Row],[takes]]&gt;0,AvatarAbilities1[[#This Row],[wins]]/AvatarAbilities1[[#This Row],[takes]],0)</f>
        <v>0.5377777777777778</v>
      </c>
      <c r="F4" s="20"/>
      <c r="G4" s="20">
        <v>2</v>
      </c>
      <c r="H4" s="20">
        <f t="shared" ref="H4:H5" si="2">R4+R25+R46+R67+R88+R109</f>
        <v>102</v>
      </c>
      <c r="I4" s="22">
        <f t="shared" ref="I4:I5" si="3">S4+S25+S46+S67+S88+S109</f>
        <v>32</v>
      </c>
      <c r="K4" t="s">
        <v>135</v>
      </c>
      <c r="L4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105</v>
      </c>
      <c r="M4" s="20">
        <f>COUNTIF(Scenario0[winner1-ability1],AvatarAbilities1Scenario0[[#This Row],[ability]])+COUNTIF(Scenario0[winner2-ability1],AvatarAbilities1Scenario0[[#This Row],[ability]])</f>
        <v>58</v>
      </c>
      <c r="N4" s="21">
        <f>IF(SUM(AvatarAbilities1Scenario0[[#This Row],[takes]]) &gt; 0,AvatarAbilities1Scenario0[[#This Row],[takes]]/SUM(AvatarAbilities1Scenario0[takes]),0)</f>
        <v>1</v>
      </c>
      <c r="O4" s="21">
        <f>IF(AvatarAbilities1Scenario0[[#This Row],[takes]]&gt;0,AvatarAbilities1Scenario0[[#This Row],[wins]]/AvatarAbilities1Scenario0[[#This Row],[takes]],0)</f>
        <v>0.55238095238095242</v>
      </c>
      <c r="P4" s="20"/>
      <c r="Q4" s="20">
        <v>2</v>
      </c>
      <c r="R4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40</v>
      </c>
      <c r="S4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14</v>
      </c>
      <c r="T4" s="20"/>
      <c r="U4" t="s">
        <v>179</v>
      </c>
      <c r="V4" s="3">
        <f>AvatarEquip[[#This Row],[chestpiece]]/SUM(AvatarEquip[chestpiece])</f>
        <v>0.11228070175438597</v>
      </c>
    </row>
    <row r="5" spans="1:22" x14ac:dyDescent="0.4">
      <c r="A5" t="s">
        <v>73</v>
      </c>
      <c r="B5" s="20">
        <f t="shared" si="0"/>
        <v>12</v>
      </c>
      <c r="C5" s="20">
        <f t="shared" si="1"/>
        <v>2</v>
      </c>
      <c r="D5" s="21">
        <f>IF(SUM(AvatarAbilities1[[#This Row],[takes]]) &gt; 0,AvatarAbilities1[[#This Row],[takes]]/SUM(AvatarAbilities1[takes]),0)</f>
        <v>4.2105263157894736E-2</v>
      </c>
      <c r="E5" s="21">
        <f>IF(AvatarAbilities1[[#This Row],[takes]]&gt;0,AvatarAbilities1[[#This Row],[wins]]/AvatarAbilities1[[#This Row],[takes]],0)</f>
        <v>0.16666666666666666</v>
      </c>
      <c r="F5" s="20"/>
      <c r="G5" s="20">
        <v>3</v>
      </c>
      <c r="H5" s="20">
        <f t="shared" si="2"/>
        <v>70</v>
      </c>
      <c r="I5" s="22">
        <f t="shared" si="3"/>
        <v>55</v>
      </c>
      <c r="K5" t="s">
        <v>73</v>
      </c>
      <c r="L5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5" s="20">
        <f>COUNTIF(Scenario0[winner1-ability1],AvatarAbilities1Scenario0[[#This Row],[ability]])+COUNTIF(Scenario0[winner2-ability1],AvatarAbilities1Scenario0[[#This Row],[ability]])</f>
        <v>0</v>
      </c>
      <c r="N5" s="21">
        <f>IF(SUM(AvatarAbilities1Scenario0[[#This Row],[takes]]) &gt; 0,AvatarAbilities1Scenario0[[#This Row],[takes]]/SUM(AvatarAbilities1Scenario0[takes]),0)</f>
        <v>0</v>
      </c>
      <c r="O5" s="21">
        <f>IF(AvatarAbilities1Scenario0[[#This Row],[takes]]&gt;0,AvatarAbilities1Scenario0[[#This Row],[wins]]/AvatarAbilities1Scenario0[[#This Row],[takes]],0)</f>
        <v>0</v>
      </c>
      <c r="P5" s="20"/>
      <c r="Q5" s="20">
        <v>3</v>
      </c>
      <c r="R5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16</v>
      </c>
      <c r="S5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11</v>
      </c>
      <c r="T5" s="20"/>
      <c r="U5" t="s">
        <v>180</v>
      </c>
      <c r="V5" s="18">
        <f>AvatarEquip[[#This Row],[chestpiece]]/SUM(AvatarEquip[chestpiece])</f>
        <v>0.19298245614035087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SUM(AvatarAbilities2[takes])/SUM(AvatarAbilities1[takes])</f>
        <v>0.84210526315789469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SUM(AvatarAbilities3[takes])/SUM(AvatarAbilities1[takes])</f>
        <v>0.38596491228070173</v>
      </c>
    </row>
    <row r="8" spans="1:22" x14ac:dyDescent="0.4">
      <c r="A8" s="2" t="s">
        <v>74</v>
      </c>
      <c r="B8" s="2">
        <f>L8+L29+L50+L71+L92+L113</f>
        <v>35</v>
      </c>
      <c r="C8" s="2">
        <f>M8+M29+M50+M71+M92+M113</f>
        <v>19</v>
      </c>
      <c r="D8" s="13">
        <f>IF(SUM(AvatarAbilities2[[#This Row],[takes]]) &gt; 0,AvatarAbilities2[[#This Row],[takes]]/SUM(AvatarAbilities2[takes]),0)</f>
        <v>0.14583333333333334</v>
      </c>
      <c r="E8" s="13">
        <f>IF(AvatarAbilities2[[#This Row],[takes]]&gt;0,AvatarAbilities2[[#This Row],[wins]]/AvatarAbilities2[[#This Row],[takes]],0)</f>
        <v>0.54285714285714282</v>
      </c>
      <c r="F8" s="20"/>
      <c r="G8" s="20"/>
      <c r="H8" s="20"/>
      <c r="I8" s="22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8</v>
      </c>
      <c r="M8" s="2">
        <f>COUNTIF(Scenario0[winner1-ability2],AvatarAbilities2Scenario0[[#This Row],[ability]])+COUNTIF(Scenario0[winner2-ability2],AvatarAbilities2Scenario0[[#This Row],[ability]])</f>
        <v>6</v>
      </c>
      <c r="N8" s="13">
        <f>IF(SUM(AvatarAbilities2Scenario0[[#This Row],[takes]]) &gt; 0,AvatarAbilities2Scenario0[[#This Row],[takes]]/SUM(AvatarAbilities2Scenario0[takes]),0)</f>
        <v>9.8765432098765427E-2</v>
      </c>
      <c r="O8" s="13">
        <f>IF(AvatarAbilities2Scenario0[[#This Row],[takes]]&gt;0,AvatarAbilities2Scenario0[[#This Row],[wins]]/AvatarAbilities2Scenario0[[#This Row],[takes]],0)</f>
        <v>0.75</v>
      </c>
      <c r="P8" s="20"/>
      <c r="Q8" s="20"/>
      <c r="R8" s="20"/>
      <c r="S8" s="22"/>
      <c r="T8" s="20"/>
      <c r="U8" t="s">
        <v>178</v>
      </c>
      <c r="V8" s="18">
        <f>SUM(AvatarAbilities4[takes])/SUM(AvatarAbilities1[takes])</f>
        <v>0.23508771929824562</v>
      </c>
    </row>
    <row r="9" spans="1:22" x14ac:dyDescent="0.4">
      <c r="A9" t="s">
        <v>136</v>
      </c>
      <c r="B9" s="2">
        <f t="shared" ref="B9:B10" si="4">L9+L30+L51+L72+L93+L114</f>
        <v>75</v>
      </c>
      <c r="C9" s="2">
        <f t="shared" ref="C9:C10" si="5">M9+M30+M51+M72+M93+M114</f>
        <v>33</v>
      </c>
      <c r="D9" s="21">
        <f>IF(SUM(AvatarAbilities2[[#This Row],[takes]]) &gt; 0,AvatarAbilities2[[#This Row],[takes]]/SUM(AvatarAbilities2[takes]),0)</f>
        <v>0.3125</v>
      </c>
      <c r="E9" s="21">
        <f>IF(AvatarAbilities2[[#This Row],[takes]]&gt;0,AvatarAbilities2[[#This Row],[wins]]/AvatarAbilities2[[#This Row],[takes]],0)</f>
        <v>0.44</v>
      </c>
      <c r="F9" s="20"/>
      <c r="G9" s="20"/>
      <c r="H9" s="20"/>
      <c r="I9" s="22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9</v>
      </c>
      <c r="M9" s="2">
        <f>COUNTIF(Scenario0[winner1-ability2],AvatarAbilities2Scenario0[[#This Row],[ability]])+COUNTIF(Scenario0[winner2-ability2],AvatarAbilities2Scenario0[[#This Row],[ability]])</f>
        <v>4</v>
      </c>
      <c r="N9" s="21">
        <f>IF(SUM(AvatarAbilities2Scenario0[[#This Row],[takes]]) &gt; 0,AvatarAbilities2Scenario0[[#This Row],[takes]]/SUM(AvatarAbilities2Scenario0[takes]),0)</f>
        <v>0.1111111111111111</v>
      </c>
      <c r="O9" s="21">
        <f>IF(AvatarAbilities2Scenario0[[#This Row],[takes]]&gt;0,AvatarAbilities2Scenario0[[#This Row],[wins]]/AvatarAbilities2Scenario0[[#This Row],[takes]],0)</f>
        <v>0.44444444444444442</v>
      </c>
      <c r="P9" s="20"/>
      <c r="Q9" s="20"/>
      <c r="R9" s="20"/>
      <c r="S9" s="22"/>
      <c r="T9" s="20"/>
      <c r="U9" t="s">
        <v>404</v>
      </c>
      <c r="V9" s="39">
        <f>(SUM(AvatarAbilities2[takes])+SUM(AvatarAbilities3[takes])+SUM(AvatarAbilities4[takes])+SUM(H4:H5)+SUM(I4:I5))/SUM(AvatarAbilities1[takes])</f>
        <v>2.3719298245614033</v>
      </c>
    </row>
    <row r="10" spans="1:22" x14ac:dyDescent="0.4">
      <c r="A10" s="11" t="s">
        <v>99</v>
      </c>
      <c r="B10" s="2">
        <f t="shared" si="4"/>
        <v>130</v>
      </c>
      <c r="C10" s="2">
        <f t="shared" si="5"/>
        <v>78</v>
      </c>
      <c r="D10" s="14">
        <f>IF(SUM(AvatarAbilities2[[#This Row],[takes]]) &gt; 0,AvatarAbilities2[[#This Row],[takes]]/SUM(AvatarAbilities2[takes]),0)</f>
        <v>0.54166666666666663</v>
      </c>
      <c r="E10" s="14">
        <f>IF(AvatarAbilities2[[#This Row],[takes]]&gt;0,AvatarAbilities2[[#This Row],[wins]]/AvatarAbilities2[[#This Row],[takes]],0)</f>
        <v>0.6</v>
      </c>
      <c r="F10" s="20"/>
      <c r="G10" s="20"/>
      <c r="H10" s="20"/>
      <c r="I10" s="22"/>
      <c r="K10" s="11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64</v>
      </c>
      <c r="M10" s="2">
        <f>COUNTIF(Scenario0[winner1-ability2],AvatarAbilities2Scenario0[[#This Row],[ability]])+COUNTIF(Scenario0[winner2-ability2],AvatarAbilities2Scenario0[[#This Row],[ability]])</f>
        <v>41</v>
      </c>
      <c r="N10" s="14">
        <f>IF(SUM(AvatarAbilities2Scenario0[[#This Row],[takes]]) &gt; 0,AvatarAbilities2Scenario0[[#This Row],[takes]]/SUM(AvatarAbilities2Scenario0[takes]),0)</f>
        <v>0.79012345679012341</v>
      </c>
      <c r="O10" s="14">
        <f>IF(AvatarAbilities2Scenario0[[#This Row],[takes]]&gt;0,AvatarAbilities2Scenario0[[#This Row],[wins]]/AvatarAbilities2Scenario0[[#This Row],[takes]],0)</f>
        <v>0.640625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137</v>
      </c>
      <c r="B13" s="1">
        <f>L13+L34+L55+L76+L97+L118</f>
        <v>49</v>
      </c>
      <c r="C13" s="1">
        <f>M13+M34+M55+M76+M97+M118</f>
        <v>28</v>
      </c>
      <c r="D13" s="15">
        <f>IF(SUM(AvatarAbilities3[[#This Row],[takes]]) &gt; 0,AvatarAbilities3[[#This Row],[takes]]/SUM(AvatarAbilities3[takes]),0)</f>
        <v>0.44545454545454544</v>
      </c>
      <c r="E13" s="15">
        <f>IF(AvatarAbilities3[[#This Row],[takes]]&gt;0,AvatarAbilities3[[#This Row],[wins]]/AvatarAbilities3[[#This Row],[takes]],0)</f>
        <v>0.5714285714285714</v>
      </c>
      <c r="F13" s="20"/>
      <c r="G13" s="20"/>
      <c r="H13" s="20"/>
      <c r="I13" s="22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3" s="1">
        <f>COUNTIF(Scenario0[winner1-ability3],AvatarAbilities3Scenario0[[#This Row],[ability]])+COUNTIF(Scenario0[winner2-ability3],AvatarAbilities3Scenario0[[#This Row],[ability]])</f>
        <v>8</v>
      </c>
      <c r="N13" s="15">
        <f>IF(SUM(AvatarAbilities3Scenario0[[#This Row],[takes]]) &gt; 0,AvatarAbilities3Scenario0[[#This Row],[takes]]/SUM(AvatarAbilities3Scenario0[takes]),0)</f>
        <v>0.42857142857142855</v>
      </c>
      <c r="O13" s="15">
        <f>IF(AvatarAbilities3Scenario0[[#This Row],[takes]]&gt;0,AvatarAbilities3Scenario0[[#This Row],[wins]]/AvatarAbilities3Scenario0[[#This Row],[takes]],0)</f>
        <v>0.88888888888888884</v>
      </c>
      <c r="P13" s="20"/>
      <c r="Q13" s="20"/>
      <c r="R13" s="20"/>
      <c r="S13" s="22"/>
      <c r="T13" s="20"/>
    </row>
    <row r="14" spans="1:22" x14ac:dyDescent="0.4">
      <c r="A14" s="2" t="s">
        <v>100</v>
      </c>
      <c r="B14" s="2">
        <f t="shared" ref="B14:B15" si="6">L14+L35+L56+L77+L98+L119</f>
        <v>26</v>
      </c>
      <c r="C14" s="2">
        <f t="shared" ref="C14:C15" si="7">M14+M35+M56+M77+M98+M119</f>
        <v>12</v>
      </c>
      <c r="D14" s="13">
        <f>IF(SUM(AvatarAbilities3[[#This Row],[takes]]) &gt; 0,AvatarAbilities3[[#This Row],[takes]]/SUM(AvatarAbilities3[takes]),0)</f>
        <v>0.23636363636363636</v>
      </c>
      <c r="E14" s="13">
        <f>IF(AvatarAbilities3[[#This Row],[takes]]&gt;0,AvatarAbilities3[[#This Row],[wins]]/AvatarAbilities3[[#This Row],[takes]],0)</f>
        <v>0.46153846153846156</v>
      </c>
      <c r="F14" s="20"/>
      <c r="G14" s="20"/>
      <c r="H14" s="20"/>
      <c r="I14" s="22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3</v>
      </c>
      <c r="M14" s="2">
        <f>COUNTIF(Scenario0[winner1-ability3],AvatarAbilities3Scenario0[[#This Row],[ability]])+COUNTIF(Scenario0[winner2-ability3],AvatarAbilities3Scenario0[[#This Row],[ability]])</f>
        <v>3</v>
      </c>
      <c r="N14" s="13">
        <f>IF(SUM(AvatarAbilities3Scenario0[[#This Row],[takes]]) &gt; 0,AvatarAbilities3Scenario0[[#This Row],[takes]]/SUM(AvatarAbilities3Scenario0[takes]),0)</f>
        <v>0.14285714285714285</v>
      </c>
      <c r="O14" s="13">
        <f>IF(AvatarAbilities3Scenario0[[#This Row],[takes]]&gt;0,AvatarAbilities3Scenario0[[#This Row],[wins]]/AvatarAbilities3Scenario0[[#This Row],[takes]],0)</f>
        <v>1</v>
      </c>
      <c r="P14" s="20"/>
      <c r="Q14" s="20"/>
      <c r="R14" s="20"/>
      <c r="S14" s="22"/>
      <c r="T14" s="20"/>
    </row>
    <row r="15" spans="1:22" x14ac:dyDescent="0.4">
      <c r="A15" s="12" t="s">
        <v>75</v>
      </c>
      <c r="B15" s="1">
        <f t="shared" si="6"/>
        <v>35</v>
      </c>
      <c r="C15" s="1">
        <f t="shared" si="7"/>
        <v>19</v>
      </c>
      <c r="D15" s="16">
        <f>IF(SUM(AvatarAbilities3[[#This Row],[takes]]) &gt; 0,AvatarAbilities3[[#This Row],[takes]]/SUM(AvatarAbilities3[takes]),0)</f>
        <v>0.31818181818181818</v>
      </c>
      <c r="E15" s="16">
        <f>IF(AvatarAbilities3[[#This Row],[takes]]&gt;0,AvatarAbilities3[[#This Row],[wins]]/AvatarAbilities3[[#This Row],[takes]],0)</f>
        <v>0.54285714285714282</v>
      </c>
      <c r="F15" s="20"/>
      <c r="G15" s="20"/>
      <c r="H15" s="20"/>
      <c r="I15" s="22"/>
      <c r="K15" s="12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5" s="1">
        <f>COUNTIF(Scenario0[winner1-ability3],AvatarAbilities3Scenario0[[#This Row],[ability]])+COUNTIF(Scenario0[winner2-ability3],AvatarAbilities3Scenario0[[#This Row],[ability]])</f>
        <v>6</v>
      </c>
      <c r="N15" s="16">
        <f>IF(SUM(AvatarAbilities3Scenario0[[#This Row],[takes]]) &gt; 0,AvatarAbilities3Scenario0[[#This Row],[takes]]/SUM(AvatarAbilities3Scenario0[takes]),0)</f>
        <v>0.42857142857142855</v>
      </c>
      <c r="O15" s="16">
        <f>IF(AvatarAbilities3Scenario0[[#This Row],[takes]]&gt;0,AvatarAbilities3Scenario0[[#This Row],[wins]]/AvatarAbilities3Scenario0[[#This Row],[takes]],0)</f>
        <v>0.66666666666666663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138</v>
      </c>
      <c r="B18" s="2">
        <f>L18+L39+L60+L81+L102+L123</f>
        <v>35</v>
      </c>
      <c r="C18" s="2">
        <f>M18+M39+M60+M81+M102+M123</f>
        <v>20</v>
      </c>
      <c r="D18" s="13">
        <f>IF(SUM(AvatarAbilities4[[#This Row],[takes]]) &gt; 0,AvatarAbilities4[[#This Row],[takes]]/SUM(AvatarAbilities4[takes]),0)</f>
        <v>0.52238805970149249</v>
      </c>
      <c r="E18" s="13">
        <f>IF(AvatarAbilities4[[#This Row],[takes]]&gt;0,AvatarAbilities4[[#This Row],[wins]]/AvatarAbilities4[[#This Row],[takes]],0)</f>
        <v>0.5714285714285714</v>
      </c>
      <c r="F18" s="20"/>
      <c r="G18" s="20"/>
      <c r="H18" s="20"/>
      <c r="I18" s="22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18" s="2">
        <f>COUNTIF(Scenario0[winner1-ability4],AvatarAbilities4Scenario0[[#This Row],[ability]])+COUNTIF(Scenario0[winner2-ability4],AvatarAbilities4Scenario0[[#This Row],[ability]])</f>
        <v>1</v>
      </c>
      <c r="N18" s="13">
        <f>IF(SUM(AvatarAbilities4Scenario0[[#This Row],[takes]]) &gt; 0,AvatarAbilities4Scenario0[[#This Row],[takes]]/SUM(AvatarAbilities4Scenario0[takes]),0)</f>
        <v>0.33333333333333331</v>
      </c>
      <c r="O18" s="13">
        <f>IF(AvatarAbilities4Scenario0[[#This Row],[takes]]&gt;0,AvatarAbilities4Scenario0[[#This Row],[wins]]/AvatarAbilities4Scenario0[[#This Row],[takes]],0)</f>
        <v>1</v>
      </c>
      <c r="P18" s="20"/>
      <c r="Q18" s="20"/>
      <c r="R18" s="20"/>
      <c r="S18" s="22"/>
      <c r="T18" s="20"/>
    </row>
    <row r="19" spans="1:20" x14ac:dyDescent="0.4">
      <c r="A19" s="2" t="s">
        <v>101</v>
      </c>
      <c r="B19" s="2">
        <f t="shared" ref="B19:B20" si="8">L19+L40+L61+L82+L103+L124</f>
        <v>6</v>
      </c>
      <c r="C19" s="2">
        <f t="shared" ref="C19:C20" si="9">M19+M40+M61+M82+M103+M124</f>
        <v>4</v>
      </c>
      <c r="D19" s="13">
        <f>IF(SUM(AvatarAbilities4[[#This Row],[takes]]) &gt; 0,AvatarAbilities4[[#This Row],[takes]]/SUM(AvatarAbilities4[takes]),0)</f>
        <v>8.9552238805970144E-2</v>
      </c>
      <c r="E19" s="13">
        <f>IF(AvatarAbilities4[[#This Row],[takes]]&gt;0,AvatarAbilities4[[#This Row],[wins]]/AvatarAbilities4[[#This Row],[takes]],0)</f>
        <v>0.66666666666666663</v>
      </c>
      <c r="F19" s="20"/>
      <c r="G19" s="20"/>
      <c r="H19" s="20"/>
      <c r="I19" s="22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19" s="2">
        <f>COUNTIF(Scenario0[winner1-ability4],AvatarAbilities4Scenario0[[#This Row],[ability]])+COUNTIF(Scenario0[winner2-ability4],AvatarAbilities4Scenario0[[#This Row],[ability]])</f>
        <v>1</v>
      </c>
      <c r="N19" s="13">
        <f>IF(SUM(AvatarAbilities4Scenario0[[#This Row],[takes]]) &gt; 0,AvatarAbilities4Scenario0[[#This Row],[takes]]/SUM(AvatarAbilities4Scenario0[takes]),0)</f>
        <v>0.33333333333333331</v>
      </c>
      <c r="O19" s="13">
        <f>IF(AvatarAbilities4Scenario0[[#This Row],[takes]]&gt;0,AvatarAbilities4Scenario0[[#This Row],[wins]]/AvatarAbilities4Scenario0[[#This Row],[takes]],0)</f>
        <v>1</v>
      </c>
      <c r="P19" s="20"/>
      <c r="Q19" s="20"/>
      <c r="R19" s="20"/>
      <c r="S19" s="22"/>
      <c r="T19" s="20"/>
    </row>
    <row r="20" spans="1:20" ht="15" thickBot="1" x14ac:dyDescent="0.45">
      <c r="A20" s="11" t="s">
        <v>139</v>
      </c>
      <c r="B20" s="2">
        <f t="shared" si="8"/>
        <v>26</v>
      </c>
      <c r="C20" s="2">
        <f t="shared" si="9"/>
        <v>8</v>
      </c>
      <c r="D20" s="30">
        <f>IF(SUM(AvatarAbilities4[[#This Row],[takes]]) &gt; 0,AvatarAbilities4[[#This Row],[takes]]/SUM(AvatarAbilities4[takes]),0)</f>
        <v>0.38805970149253732</v>
      </c>
      <c r="E20" s="30">
        <f>IF(AvatarAbilities4[[#This Row],[takes]]&gt;0,AvatarAbilities4[[#This Row],[wins]]/AvatarAbilities4[[#This Row],[takes]],0)</f>
        <v>0.30769230769230771</v>
      </c>
      <c r="F20" s="31"/>
      <c r="G20" s="31"/>
      <c r="H20" s="31"/>
      <c r="I20" s="32"/>
      <c r="K20" s="11" t="s">
        <v>139</v>
      </c>
      <c r="L20" s="29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20" s="29">
        <f>COUNTIF(Scenario0[winner1-ability4],AvatarAbilities4Scenario0[[#This Row],[ability]])+COUNTIF(Scenario0[winner2-ability4],AvatarAbilities4Scenario0[[#This Row],[ability]])</f>
        <v>1</v>
      </c>
      <c r="N20" s="30">
        <f>IF(SUM(AvatarAbilities4Scenario0[[#This Row],[takes]]) &gt; 0,AvatarAbilities4Scenario0[[#This Row],[takes]]/SUM(AvatarAbilities4Scenario0[takes]),0)</f>
        <v>0.33333333333333331</v>
      </c>
      <c r="O20" s="30">
        <f>IF(AvatarAbilities4Scenario0[[#This Row],[takes]]&gt;0,AvatarAbilities4Scenario0[[#This Row],[wins]]/AvatarAbilities4Scenario0[[#This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1" t="s">
        <v>393</v>
      </c>
      <c r="L22" s="42"/>
      <c r="M22" s="42"/>
      <c r="N22" s="42"/>
      <c r="O22" s="42"/>
      <c r="P22" s="42"/>
      <c r="Q22" s="42"/>
      <c r="R22" s="42"/>
      <c r="S22" s="43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168</v>
      </c>
      <c r="S23" s="22" t="s">
        <v>164</v>
      </c>
      <c r="T23" s="20"/>
    </row>
    <row r="24" spans="1:20" x14ac:dyDescent="0.4">
      <c r="K24" t="s">
        <v>44</v>
      </c>
      <c r="L24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 s="20">
        <f>COUNTIF(Scenario1[winner1-ability1],AvatarAbilities1Scenario1[[#This Row],[ability]])+COUNTIF(Scenario1[winner2-ability1],AvatarAbilities1Scenario1[[#This Row],[ability]])</f>
        <v>0</v>
      </c>
      <c r="N24" s="21">
        <f>IF(SUM(AvatarAbilities1Scenario1[[#This Row],[takes]]) &gt; 0,AvatarAbilities1Scenario1[[#This Row],[takes]]/SUM(AvatarAbilities1Scenario1[takes]),0)</f>
        <v>0</v>
      </c>
      <c r="O24" s="21">
        <f>IF(AvatarAbilities1Scenario1[[#This Row],[takes]]&gt;0,AvatarAbilities1Scenario1[[#This Row],[wins]]/AvatarAbilities1Scenario1[[#This Row],[takes]],0)</f>
        <v>0</v>
      </c>
      <c r="P24" s="20"/>
      <c r="Q24" s="20">
        <v>1</v>
      </c>
      <c r="R24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46</v>
      </c>
      <c r="S24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93</v>
      </c>
      <c r="T24" s="20"/>
    </row>
    <row r="25" spans="1:20" x14ac:dyDescent="0.4">
      <c r="K25" t="s">
        <v>135</v>
      </c>
      <c r="L25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105</v>
      </c>
      <c r="M25" s="20">
        <f>COUNTIF(Scenario1[winner1-ability1],AvatarAbilities1Scenario1[[#This Row],[ability]])+COUNTIF(Scenario1[winner2-ability1],AvatarAbilities1Scenario1[[#This Row],[ability]])</f>
        <v>58</v>
      </c>
      <c r="N25" s="21">
        <f>IF(SUM(AvatarAbilities1Scenario1[[#This Row],[takes]]) &gt; 0,AvatarAbilities1Scenario1[[#This Row],[takes]]/SUM(AvatarAbilities1Scenario1[takes]),0)</f>
        <v>1</v>
      </c>
      <c r="O25" s="21">
        <f>IF(AvatarAbilities1Scenario1[[#This Row],[takes]]&gt;0,AvatarAbilities1Scenario1[[#This Row],[wins]]/AvatarAbilities1Scenario1[[#This Row],[takes]],0)</f>
        <v>0.55238095238095242</v>
      </c>
      <c r="P25" s="20"/>
      <c r="Q25" s="20">
        <v>2</v>
      </c>
      <c r="R25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44</v>
      </c>
      <c r="S25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</v>
      </c>
      <c r="T25" s="20"/>
    </row>
    <row r="26" spans="1:20" x14ac:dyDescent="0.4">
      <c r="K26" t="s">
        <v>73</v>
      </c>
      <c r="L26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 s="20">
        <f>COUNTIF(Scenario1[winner1-ability1],AvatarAbilities1Scenario1[[#This Row],[ability]])+COUNTIF(Scenario1[winner2-ability1],AvatarAbilities1Scenario1[[#This Row],[ability]])</f>
        <v>0</v>
      </c>
      <c r="N26" s="21">
        <f>IF(SUM(AvatarAbilities1Scenario1[[#This Row],[takes]]) &gt; 0,AvatarAbilities1Scenario1[[#This Row],[takes]]/SUM(AvatarAbilities1Scenario1[takes]),0)</f>
        <v>0</v>
      </c>
      <c r="O26" s="21">
        <f>IF(AvatarAbilities1Scenario1[[#This Row],[takes]]&gt;0,AvatarAbilities1Scenario1[[#This Row],[wins]]/AvatarAbilities1Scenario1[[#This Row],[takes]],0)</f>
        <v>0</v>
      </c>
      <c r="P26" s="20"/>
      <c r="Q26" s="20">
        <v>3</v>
      </c>
      <c r="R26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15</v>
      </c>
      <c r="S26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4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12</v>
      </c>
      <c r="M29" s="2">
        <f>COUNTIF(Scenario1[winner1-ability2],AvatarAbilities2Scenario1[[#This Row],[ability]])+COUNTIF(Scenario1[winner2-ability2],AvatarAbilities2Scenario1[[#This Row],[ability]])</f>
        <v>8</v>
      </c>
      <c r="N29" s="13">
        <f>IF(SUM(AvatarAbilities2Scenario1[[#This Row],[takes]]) &gt; 0,AvatarAbilities2Scenario1[[#This Row],[takes]]/SUM(AvatarAbilities2Scenario1[takes]),0)</f>
        <v>0.13793103448275862</v>
      </c>
      <c r="O29" s="13">
        <f>IF(AvatarAbilities2Scenario1[[#This Row],[takes]]&gt;0,AvatarAbilities2Scenario1[[#This Row],[wins]]/AvatarAbilities2Scenario1[[#This Row],[takes]],0)</f>
        <v>0.66666666666666663</v>
      </c>
      <c r="P29" s="20"/>
      <c r="Q29" s="20"/>
      <c r="R29" s="20"/>
      <c r="S29" s="22"/>
      <c r="T29" s="20"/>
    </row>
    <row r="30" spans="1:20" x14ac:dyDescent="0.4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25</v>
      </c>
      <c r="M30" s="2">
        <f>COUNTIF(Scenario1[winner1-ability2],AvatarAbilities2Scenario1[[#This Row],[ability]])+COUNTIF(Scenario1[winner2-ability2],AvatarAbilities2Scenario1[[#This Row],[ability]])</f>
        <v>14</v>
      </c>
      <c r="N30" s="21">
        <f>IF(SUM(AvatarAbilities2Scenario1[[#This Row],[takes]]) &gt; 0,AvatarAbilities2Scenario1[[#This Row],[takes]]/SUM(AvatarAbilities2Scenario1[takes]),0)</f>
        <v>0.28735632183908044</v>
      </c>
      <c r="O30" s="21">
        <f>IF(AvatarAbilities2Scenario1[[#This Row],[takes]]&gt;0,AvatarAbilities2Scenario1[[#This Row],[wins]]/AvatarAbilities2Scenario1[[#This Row],[takes]],0)</f>
        <v>0.56000000000000005</v>
      </c>
      <c r="P30" s="20"/>
      <c r="Q30" s="20"/>
      <c r="R30" s="20"/>
      <c r="S30" s="22"/>
      <c r="T30" s="20"/>
    </row>
    <row r="31" spans="1:20" x14ac:dyDescent="0.4">
      <c r="K31" s="11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50</v>
      </c>
      <c r="M31" s="2">
        <f>COUNTIF(Scenario1[winner1-ability2],AvatarAbilities2Scenario1[[#This Row],[ability]])+COUNTIF(Scenario1[winner2-ability2],AvatarAbilities2Scenario1[[#This Row],[ability]])</f>
        <v>31</v>
      </c>
      <c r="N31" s="14">
        <f>IF(SUM(AvatarAbilities2Scenario1[[#This Row],[takes]]) &gt; 0,AvatarAbilities2Scenario1[[#This Row],[takes]]/SUM(AvatarAbilities2Scenario1[takes]),0)</f>
        <v>0.57471264367816088</v>
      </c>
      <c r="O31" s="14">
        <f>IF(AvatarAbilities2Scenario1[[#This Row],[takes]]&gt;0,AvatarAbilities2Scenario1[[#This Row],[wins]]/AvatarAbilities2Scenario1[[#This Row],[takes]],0)</f>
        <v>0.62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7</v>
      </c>
      <c r="M34" s="1">
        <f>COUNTIF(Scenario1[winner1-ability3],AvatarAbilities3Scenario1[[#This Row],[ability]])+COUNTIF(Scenario1[winner2-ability3],AvatarAbilities3Scenario1[[#This Row],[ability]])</f>
        <v>7</v>
      </c>
      <c r="N34" s="15">
        <f>IF(SUM(AvatarAbilities3Scenario1[[#This Row],[takes]]) &gt; 0,AvatarAbilities3Scenario1[[#This Row],[takes]]/SUM(AvatarAbilities3Scenario1[takes]),0)</f>
        <v>0.3888888888888889</v>
      </c>
      <c r="O34" s="15">
        <f>IF(AvatarAbilities3Scenario1[[#This Row],[takes]]&gt;0,AvatarAbilities3Scenario1[[#This Row],[wins]]/AvatarAbilities3Scenario1[[#This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6</v>
      </c>
      <c r="M35" s="2">
        <f>COUNTIF(Scenario1[winner1-ability3],AvatarAbilities3Scenario1[[#This Row],[ability]])+COUNTIF(Scenario1[winner2-ability3],AvatarAbilities3Scenario1[[#This Row],[ability]])</f>
        <v>6</v>
      </c>
      <c r="N35" s="13">
        <f>IF(SUM(AvatarAbilities3Scenario1[[#This Row],[takes]]) &gt; 0,AvatarAbilities3Scenario1[[#This Row],[takes]]/SUM(AvatarAbilities3Scenario1[takes]),0)</f>
        <v>0.33333333333333331</v>
      </c>
      <c r="O35" s="13">
        <f>IF(AvatarAbilities3Scenario1[[#This Row],[takes]]&gt;0,AvatarAbilities3Scenario1[[#This Row],[wins]]/AvatarAbilities3Scenario1[[#This Row],[takes]],0)</f>
        <v>1</v>
      </c>
      <c r="P35" s="20"/>
      <c r="Q35" s="20"/>
      <c r="R35" s="20"/>
      <c r="S35" s="22"/>
      <c r="T35" s="20"/>
    </row>
    <row r="36" spans="11:20" x14ac:dyDescent="0.4">
      <c r="K36" s="12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5</v>
      </c>
      <c r="M36" s="1">
        <f>COUNTIF(Scenario1[winner1-ability3],AvatarAbilities3Scenario1[[#This Row],[ability]])+COUNTIF(Scenario1[winner2-ability3],AvatarAbilities3Scenario1[[#This Row],[ability]])</f>
        <v>4</v>
      </c>
      <c r="N36" s="16">
        <f>IF(SUM(AvatarAbilities3Scenario1[[#This Row],[takes]]) &gt; 0,AvatarAbilities3Scenario1[[#This Row],[takes]]/SUM(AvatarAbilities3Scenario1[takes]),0)</f>
        <v>0.27777777777777779</v>
      </c>
      <c r="O36" s="16">
        <f>IF(AvatarAbilities3Scenario1[[#This Row],[takes]]&gt;0,AvatarAbilities3Scenario1[[#This Row],[wins]]/AvatarAbilities3Scenario1[[#This Row],[takes]],0)</f>
        <v>0.8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3</v>
      </c>
      <c r="M39" s="2">
        <f>COUNTIF(Scenario1[winner1-ability4],AvatarAbilities4Scenario1[[#This Row],[ability]])+COUNTIF(Scenario1[winner2-ability4],AvatarAbilities4Scenario1[[#This Row],[ability]])</f>
        <v>3</v>
      </c>
      <c r="N39" s="13">
        <f>IF(SUM(AvatarAbilities4Scenario1[[#This Row],[takes]]) &gt; 0,AvatarAbilities4Scenario1[[#This Row],[takes]]/SUM(AvatarAbilities4Scenario1[takes]),0)</f>
        <v>0.75</v>
      </c>
      <c r="O39" s="13">
        <f>IF(AvatarAbilities4Scenario1[[#This Row],[takes]]&gt;0,AvatarAbilities4Scenario1[[#This Row],[wins]]/AvatarAbilities4Scenario1[[#This Row],[takes]],0)</f>
        <v>1</v>
      </c>
      <c r="P39" s="20"/>
      <c r="Q39" s="20"/>
      <c r="R39" s="20"/>
      <c r="S39" s="22"/>
      <c r="T39" s="20"/>
    </row>
    <row r="40" spans="11:20" x14ac:dyDescent="0.4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3">
        <f>IF(SUM(AvatarAbilities4Scenario1[[#This Row],[takes]]) &gt; 0,AvatarAbilities4Scenario1[[#This Row],[takes]]/SUM(AvatarAbilities4Scenario1[takes]),0)</f>
        <v>0</v>
      </c>
      <c r="O40" s="13">
        <f>IF(AvatarAbilities4Scenario1[[#This Row],[takes]]&gt;0,AvatarAbilities4Scenario1[[#This Row],[wins]]/AvatarAbilities4Scenario1[[#This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139</v>
      </c>
      <c r="L41" s="29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41" s="29">
        <f>COUNTIF(Scenario1[winner1-ability4],AvatarAbilities4Scenario1[[#This Row],[ability]])+COUNTIF(Scenario1[winner2-ability4],AvatarAbilities4Scenario1[[#This Row],[ability]])</f>
        <v>1</v>
      </c>
      <c r="N41" s="30">
        <f>IF(SUM(AvatarAbilities4Scenario1[[#This Row],[takes]]) &gt; 0,AvatarAbilities4Scenario1[[#This Row],[takes]]/SUM(AvatarAbilities4Scenario1[takes]),0)</f>
        <v>0.25</v>
      </c>
      <c r="O41" s="30">
        <f>IF(AvatarAbilities4Scenario1[[#This Row],[takes]]&gt;0,AvatarAbilities4Scenario1[[#This Row],[wins]]/AvatarAbilities4Scenario1[[#This Row],[takes]],0)</f>
        <v>1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1" t="s">
        <v>394</v>
      </c>
      <c r="L43" s="42"/>
      <c r="M43" s="42"/>
      <c r="N43" s="42"/>
      <c r="O43" s="42"/>
      <c r="P43" s="42"/>
      <c r="Q43" s="42"/>
      <c r="R43" s="42"/>
      <c r="S43" s="43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168</v>
      </c>
      <c r="S44" s="22" t="s">
        <v>164</v>
      </c>
    </row>
    <row r="45" spans="11:20" x14ac:dyDescent="0.4">
      <c r="K45" t="s">
        <v>44</v>
      </c>
      <c r="L45" s="20">
        <f>COUNTIF(Scenario2[winner1-ability1],AvatarAbilities1Scenario2[[#This Row],[ability]])+COUNTIF(Scenario2[loser1-ability1],AvatarAbilities1Scenario2[[#This Row],[ability]])</f>
        <v>5</v>
      </c>
      <c r="M45" s="20">
        <f>COUNTIF(Scenario2[winner1-ability1],AvatarAbilities1Scenario2[[#This Row],[ability]])</f>
        <v>4</v>
      </c>
      <c r="N45" s="21">
        <f>IF(SUM(AvatarAbilities1Scenario2[[#This Row],[takes]]) &gt; 0,AvatarAbilities1Scenario2[[#This Row],[takes]]/SUM(AvatarAbilities1Scenario2[takes]),0)</f>
        <v>0.35714285714285715</v>
      </c>
      <c r="O45" s="21">
        <f>IF(AvatarAbilities1Scenario2[[#This Row],[takes]]&gt;0,AvatarAbilities1Scenario2[[#This Row],[wins]]/AvatarAbilities1Scenario2[[#This Row],[takes]],0)</f>
        <v>0.8</v>
      </c>
      <c r="P45" s="20"/>
      <c r="Q45" s="20">
        <v>1</v>
      </c>
      <c r="R45" s="20">
        <f>COUNTIFS(Scenario2[winner1],"avatar",Scenario2[winner1-pw],AvatarEquipScenario2[[#This Row],[level]])+COUNTIFS(Scenario2[loser1],"avatar",Scenario2[loser1-pw],AvatarEquipScenario2[[#This Row],[level]])</f>
        <v>1</v>
      </c>
      <c r="S45" s="22">
        <f>COUNTIFS(Scenario2[winner1],"avatar",Scenario2[winner1-cp],AvatarEquipScenario2[[#This Row],[level]])+COUNTIFS(Scenario2[loser1],"avatar",Scenario2[loser1-cp],AvatarEquipScenario2[[#This Row],[level]])</f>
        <v>12</v>
      </c>
    </row>
    <row r="46" spans="11:20" x14ac:dyDescent="0.4">
      <c r="K46" t="s">
        <v>135</v>
      </c>
      <c r="L46" s="20">
        <f>COUNTIF(Scenario2[winner1-ability1],AvatarAbilities1Scenario2[[#This Row],[ability]])+COUNTIF(Scenario2[loser1-ability1],AvatarAbilities1Scenario2[[#This Row],[ability]])</f>
        <v>9</v>
      </c>
      <c r="M46" s="20">
        <f>COUNTIF(Scenario2[winner1-ability1],AvatarAbilities1Scenario2[[#This Row],[ability]])</f>
        <v>4</v>
      </c>
      <c r="N46" s="21">
        <f>IF(SUM(AvatarAbilities1Scenario2[[#This Row],[takes]]) &gt; 0,AvatarAbilities1Scenario2[[#This Row],[takes]]/SUM(AvatarAbilities1Scenario2[takes]),0)</f>
        <v>0.6428571428571429</v>
      </c>
      <c r="O46" s="21">
        <f>IF(AvatarAbilities1Scenario2[[#This Row],[takes]]&gt;0,AvatarAbilities1Scenario2[[#This Row],[wins]]/AvatarAbilities1Scenario2[[#This Row],[takes]],0)</f>
        <v>0.44444444444444442</v>
      </c>
      <c r="P46" s="20"/>
      <c r="Q46" s="20">
        <v>2</v>
      </c>
      <c r="R46" s="20">
        <f>COUNTIFS(Scenario2[winner1],"avatar",Scenario2[winner1-pw],AvatarEquipScenario2[[#This Row],[level]])+COUNTIFS(Scenario2[loser1],"avatar",Scenario2[loser1-pw],AvatarEquipScenario2[[#This Row],[level]])</f>
        <v>11</v>
      </c>
      <c r="S46" s="22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4">
      <c r="K47" t="s">
        <v>73</v>
      </c>
      <c r="L47" s="20">
        <f>COUNTIF(Scenario2[winner1-ability1],AvatarAbilities1Scenario2[[#This Row],[ability]])+COUNTIF(Scenario2[loser1-ability1],AvatarAbilities1Scenario2[[#This Row],[ability]])</f>
        <v>0</v>
      </c>
      <c r="M47" s="20">
        <f>COUNTIF(Scenario2[winner1-ability1],AvatarAbilities1Scenario2[[#This Row],[ability]])</f>
        <v>0</v>
      </c>
      <c r="N47" s="21">
        <f>IF(SUM(AvatarAbilities1Scenario2[[#This Row],[takes]]) &gt; 0,AvatarAbilities1Scenario2[[#This Row],[takes]]/SUM(AvatarAbilities1Scenario2[takes]),0)</f>
        <v>0</v>
      </c>
      <c r="O47" s="21">
        <f>IF(AvatarAbilities1Scenario2[[#This Row],[takes]]&gt;0,AvatarAbilities1Scenario2[[#This Row],[wins]]/AvatarAbilities1Scenario2[[#This Row],[takes]],0)</f>
        <v>0</v>
      </c>
      <c r="P47" s="20"/>
      <c r="Q47" s="20">
        <v>3</v>
      </c>
      <c r="R47" s="20">
        <f>COUNTIFS(Scenario2[winner1],"avatar",Scenario2[winner1-pw],AvatarEquipScenario2[[#This Row],[level]])+COUNTIFS(Scenario2[loser1],"avatar",Scenario2[loser1-pw],AvatarEquipScenario2[[#This Row],[level]])</f>
        <v>2</v>
      </c>
      <c r="S47" s="22">
        <f>COUNTIFS(Scenario2[winner1],"avatar",Scenario2[winner1-cp],AvatarEquipScenario2[[#This Row],[level]])+COUNTIFS(Scenario2[loser1],"avatar",Scenario2[loser1-cp],AvatarEquipScenario2[[#This Row],[level]])</f>
        <v>1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0</v>
      </c>
      <c r="M50" s="2">
        <f>COUNTIF(Scenario2[winner1-ability2],AvatarAbilities2Scenario2[[#This Row],[ability]])</f>
        <v>0</v>
      </c>
      <c r="N50" s="13">
        <f>IF(SUM(AvatarAbilities2Scenario2[[#This Row],[takes]]) &gt; 0,AvatarAbilities2Scenario2[[#This Row],[takes]]/SUM(AvatarAbilities2Scenario2[takes]),0)</f>
        <v>0</v>
      </c>
      <c r="O50" s="13">
        <f>IF(AvatarAbilities2Scenario2[[#This Row],[takes]]&gt;0,AvatarAbilities2Scenario2[[#This Row],[wins]]/AvatarAbilities2Scenario2[[#This Row],[takes]],0)</f>
        <v>0</v>
      </c>
      <c r="P50" s="20"/>
      <c r="Q50" s="20"/>
      <c r="R50" s="20"/>
      <c r="S50" s="22"/>
      <c r="T50" s="20"/>
    </row>
    <row r="51" spans="11:20" x14ac:dyDescent="0.4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21">
        <f>IF(SUM(AvatarAbilities2Scenario2[[#This Row],[takes]]) &gt; 0,AvatarAbilities2Scenario2[[#This Row],[takes]]/SUM(AvatarAbilities2Scenario2[takes]),0)</f>
        <v>0.36363636363636365</v>
      </c>
      <c r="O51" s="21">
        <f>IF(AvatarAbilities2Scenario2[[#This Row],[takes]]&gt;0,AvatarAbilities2Scenario2[[#This Row],[wins]]/AvatarAbilities2Scenario2[[#This Row],[takes]],0)</f>
        <v>0.5</v>
      </c>
      <c r="P51" s="20"/>
      <c r="Q51" s="20"/>
      <c r="R51" s="20"/>
      <c r="S51" s="22"/>
      <c r="T51" s="20"/>
    </row>
    <row r="52" spans="11:20" x14ac:dyDescent="0.4">
      <c r="K52" s="11" t="s">
        <v>99</v>
      </c>
      <c r="L52" s="2">
        <f>COUNTIF(Scenario2[winner1-ability2],AvatarAbilities2Scenario2[[#This Row],[ability]])+COUNTIF(Scenario2[loser1-ability2],AvatarAbilities2Scenario2[[#This Row],[ability]])</f>
        <v>7</v>
      </c>
      <c r="M52" s="2">
        <f>COUNTIF(Scenario2[winner1-ability2],AvatarAbilities2Scenario2[[#This Row],[ability]])</f>
        <v>4</v>
      </c>
      <c r="N52" s="14">
        <f>IF(SUM(AvatarAbilities2Scenario2[[#This Row],[takes]]) &gt; 0,AvatarAbilities2Scenario2[[#This Row],[takes]]/SUM(AvatarAbilities2Scenario2[takes]),0)</f>
        <v>0.63636363636363635</v>
      </c>
      <c r="O52" s="14">
        <f>IF(AvatarAbilities2Scenario2[[#This Row],[takes]]&gt;0,AvatarAbilities2Scenario2[[#This Row],[wins]]/AvatarAbilities2Scenario2[[#This Row],[takes]],0)</f>
        <v>0.5714285714285714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8</v>
      </c>
      <c r="M55" s="1">
        <f>COUNTIF(Scenario2[winner1-ability3],AvatarAbilities3Scenario2[[#This Row],[ability]])</f>
        <v>4</v>
      </c>
      <c r="N55" s="15">
        <f>IF(SUM(AvatarAbilities3Scenario2[[#This Row],[takes]]) &gt; 0,AvatarAbilities3Scenario2[[#This Row],[takes]]/SUM(AvatarAbilities3Scenario2[takes]),0)</f>
        <v>0.8</v>
      </c>
      <c r="O55" s="15">
        <f>IF(AvatarAbilities3Scenario2[[#This Row],[takes]]&gt;0,AvatarAbilities3Scenario2[[#This Row],[wins]]/AvatarAbilities3Scenario2[[#This Row],[takes]],0)</f>
        <v>0.5</v>
      </c>
      <c r="P55" s="20"/>
      <c r="Q55" s="20"/>
      <c r="R55" s="20"/>
      <c r="S55" s="22"/>
      <c r="T55" s="20"/>
    </row>
    <row r="56" spans="11:20" x14ac:dyDescent="0.4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3">
        <f>IF(SUM(AvatarAbilities3Scenario2[[#This Row],[takes]]) &gt; 0,AvatarAbilities3Scenario2[[#This Row],[takes]]/SUM(AvatarAbilities3Scenario2[takes]),0)</f>
        <v>0</v>
      </c>
      <c r="O56" s="13">
        <f>IF(AvatarAbilities3Scenario2[[#This Row],[takes]]&gt;0,AvatarAbilities3Scenario2[[#This Row],[wins]]/AvatarAbilities3Scenario2[[#This Row],[takes]],0)</f>
        <v>0</v>
      </c>
      <c r="P56" s="20"/>
      <c r="Q56" s="20"/>
      <c r="R56" s="20"/>
      <c r="S56" s="22"/>
      <c r="T56" s="20"/>
    </row>
    <row r="57" spans="11:20" x14ac:dyDescent="0.4">
      <c r="K57" s="12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1</v>
      </c>
      <c r="N57" s="16">
        <f>IF(SUM(AvatarAbilities3Scenario2[[#This Row],[takes]]) &gt; 0,AvatarAbilities3Scenario2[[#This Row],[takes]]/SUM(AvatarAbilities3Scenario2[takes]),0)</f>
        <v>0.2</v>
      </c>
      <c r="O57" s="16">
        <f>IF(AvatarAbilities3Scenario2[[#This Row],[takes]]&gt;0,AvatarAbilities3Scenario2[[#This Row],[wins]]/AvatarAbilities3Scenario2[[#This Row],[takes]],0)</f>
        <v>0.5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4</v>
      </c>
      <c r="M60" s="2">
        <f>COUNTIF(Scenario2[winner1-ability4],AvatarAbilities4Scenario2[[#This Row],[ability]])</f>
        <v>2</v>
      </c>
      <c r="N60" s="13">
        <f>IF(SUM(AvatarAbilities4Scenario2[[#This Row],[takes]]) &gt; 0,AvatarAbilities4Scenario2[[#This Row],[takes]]/SUM(AvatarAbilities4Scenario2[takes]),0)</f>
        <v>0.44444444444444442</v>
      </c>
      <c r="O60" s="13">
        <f>IF(AvatarAbilities4Scenario2[[#This Row],[takes]]&gt;0,AvatarAbilities4Scenario2[[#This Row],[wins]]/AvatarAbilities4Scenario2[[#This Row],[takes]],0)</f>
        <v>0.5</v>
      </c>
      <c r="P60" s="20"/>
      <c r="Q60" s="20"/>
      <c r="R60" s="20"/>
      <c r="S60" s="22"/>
      <c r="T60" s="20"/>
    </row>
    <row r="61" spans="11:20" x14ac:dyDescent="0.4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2</v>
      </c>
      <c r="M61" s="2">
        <f>COUNTIF(Scenario2[winner1-ability4],AvatarAbilities4Scenario2[[#This Row],[ability]])</f>
        <v>2</v>
      </c>
      <c r="N61" s="13">
        <f>IF(SUM(AvatarAbilities4Scenario2[[#This Row],[takes]]) &gt; 0,AvatarAbilities4Scenario2[[#This Row],[takes]]/SUM(AvatarAbilities4Scenario2[takes]),0)</f>
        <v>0.22222222222222221</v>
      </c>
      <c r="O61" s="13">
        <f>IF(AvatarAbilities4Scenario2[[#This Row],[takes]]&gt;0,AvatarAbilities4Scenario2[[#This Row],[wins]]/AvatarAbilities4Scenario2[[#This Row],[takes]],0)</f>
        <v>1</v>
      </c>
      <c r="P61" s="20"/>
      <c r="Q61" s="20"/>
      <c r="R61" s="20"/>
      <c r="S61" s="22"/>
      <c r="T61" s="20"/>
    </row>
    <row r="62" spans="11:20" ht="15" thickBot="1" x14ac:dyDescent="0.45">
      <c r="K62" s="11" t="s">
        <v>139</v>
      </c>
      <c r="L62" s="29">
        <f>COUNTIF(Scenario2[winner1-ability4],AvatarAbilities4Scenario2[[#This Row],[ability]])+COUNTIF(Scenario2[loser1-ability4],AvatarAbilities4Scenario2[[#This Row],[ability]])</f>
        <v>3</v>
      </c>
      <c r="M62" s="29">
        <f>COUNTIF(Scenario2[winner1-ability4],AvatarAbilities4Scenario2[[#This Row],[ability]])</f>
        <v>1</v>
      </c>
      <c r="N62" s="30">
        <f>IF(SUM(AvatarAbilities4Scenario2[[#This Row],[takes]]) &gt; 0,AvatarAbilities4Scenario2[[#This Row],[takes]]/SUM(AvatarAbilities4Scenario2[takes]),0)</f>
        <v>0.33333333333333331</v>
      </c>
      <c r="O62" s="30">
        <f>IF(AvatarAbilities4Scenario2[[#This Row],[takes]]&gt;0,AvatarAbilities4Scenario2[[#This Row],[wins]]/AvatarAbilities4Scenario2[[#This Row],[takes]],0)</f>
        <v>0.33333333333333331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1" t="s">
        <v>686</v>
      </c>
      <c r="L64" s="42"/>
      <c r="M64" s="42"/>
      <c r="N64" s="42"/>
      <c r="O64" s="42"/>
      <c r="P64" s="42"/>
      <c r="Q64" s="42"/>
      <c r="R64" s="42"/>
      <c r="S64" s="43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168</v>
      </c>
      <c r="S65" s="22" t="s">
        <v>164</v>
      </c>
    </row>
    <row r="66" spans="11:19" x14ac:dyDescent="0.4">
      <c r="K66" t="s">
        <v>44</v>
      </c>
      <c r="L66" s="20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6" s="20">
        <f>COUNTIF(Scenario3[winner1-ability1],AvatarAbilities1Scenario3[[#This Row],[ability]])</f>
        <v>6</v>
      </c>
      <c r="N66" s="21">
        <f>IF(SUM(AvatarAbilities1Scenario3[[#This Row],[takes]]) &gt; 0,AvatarAbilities1Scenario3[[#This Row],[takes]]/SUM(AvatarAbilities1Scenario3[takes]),0)</f>
        <v>0.76190476190476186</v>
      </c>
      <c r="O66" s="21">
        <f>IF(AvatarAbilities1Scenario3[[#This Row],[takes]]&gt;0,AvatarAbilities1Scenario3[[#This Row],[wins]]/AvatarAbilities1Scenario3[[#This Row],[takes]],0)</f>
        <v>0.375</v>
      </c>
      <c r="P66" s="20"/>
      <c r="Q66" s="20">
        <v>1</v>
      </c>
      <c r="R66" s="20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5</v>
      </c>
      <c r="S66" s="22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6</v>
      </c>
    </row>
    <row r="67" spans="11:19" x14ac:dyDescent="0.4">
      <c r="K67" t="s">
        <v>135</v>
      </c>
      <c r="L67" s="20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2</v>
      </c>
      <c r="M67" s="20">
        <f>COUNTIF(Scenario3[winner1-ability1],AvatarAbilities1Scenario3[[#This Row],[ability]])</f>
        <v>0</v>
      </c>
      <c r="N67" s="21">
        <f>IF(SUM(AvatarAbilities1Scenario3[[#This Row],[takes]]) &gt; 0,AvatarAbilities1Scenario3[[#This Row],[takes]]/SUM(AvatarAbilities1Scenario3[takes]),0)</f>
        <v>9.5238095238095233E-2</v>
      </c>
      <c r="O67" s="21">
        <f>IF(AvatarAbilities1Scenario3[[#This Row],[takes]]&gt;0,AvatarAbilities1Scenario3[[#This Row],[wins]]/AvatarAbilities1Scenario3[[#This Row],[takes]],0)</f>
        <v>0</v>
      </c>
      <c r="P67" s="20"/>
      <c r="Q67" s="20">
        <v>2</v>
      </c>
      <c r="R67" s="20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3</v>
      </c>
      <c r="S67" s="22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8" spans="11:19" x14ac:dyDescent="0.4">
      <c r="K68" t="s">
        <v>73</v>
      </c>
      <c r="L68" s="20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8" s="20">
        <f>COUNTIF(Scenario3[winner1-ability1],AvatarAbilities1Scenario3[[#This Row],[ability]])</f>
        <v>1</v>
      </c>
      <c r="N68" s="21">
        <f>IF(SUM(AvatarAbilities1Scenario3[[#This Row],[takes]]) &gt; 0,AvatarAbilities1Scenario3[[#This Row],[takes]]/SUM(AvatarAbilities1Scenario3[takes]),0)</f>
        <v>0.14285714285714285</v>
      </c>
      <c r="O68" s="21">
        <f>IF(AvatarAbilities1Scenario3[[#This Row],[takes]]&gt;0,AvatarAbilities1Scenario3[[#This Row],[wins]]/AvatarAbilities1Scenario3[[#This Row],[takes]],0)</f>
        <v>0.33333333333333331</v>
      </c>
      <c r="P68" s="20"/>
      <c r="Q68" s="20">
        <v>3</v>
      </c>
      <c r="R68" s="20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13</v>
      </c>
      <c r="S68" s="22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10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1" s="2">
        <f>COUNTIF(Scenario3[winner1-ability2],AvatarAbilities2Scenario3[[#This Row],[ability]])</f>
        <v>0</v>
      </c>
      <c r="N71" s="13">
        <f>IF(SUM(AvatarAbilities2Scenario3[[#This Row],[takes]]) &gt; 0,AvatarAbilities2Scenario3[[#This Row],[takes]]/SUM(AvatarAbilities2Scenario3[takes]),0)</f>
        <v>0</v>
      </c>
      <c r="O71" s="13">
        <f>IF(AvatarAbilities2Scenario3[[#This Row],[takes]]&gt;0,AvatarAbilities2Scenario3[[#This Row],[wins]]/AvatarAbilities2Scenario3[[#This Row],[takes]],0)</f>
        <v>0</v>
      </c>
      <c r="P71" s="20"/>
      <c r="Q71" s="20"/>
      <c r="R71" s="20"/>
      <c r="S71" s="22"/>
    </row>
    <row r="72" spans="11:19" x14ac:dyDescent="0.4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15</v>
      </c>
      <c r="M72" s="2">
        <f>COUNTIF(Scenario3[winner1-ability2],AvatarAbilities2Scenario3[[#This Row],[ability]])</f>
        <v>6</v>
      </c>
      <c r="N72" s="21">
        <f>IF(SUM(AvatarAbilities2Scenario3[[#This Row],[takes]]) &gt; 0,AvatarAbilities2Scenario3[[#This Row],[takes]]/SUM(AvatarAbilities2Scenario3[takes]),0)</f>
        <v>0.7142857142857143</v>
      </c>
      <c r="O72" s="21">
        <f>IF(AvatarAbilities2Scenario3[[#This Row],[takes]]&gt;0,AvatarAbilities2Scenario3[[#This Row],[wins]]/AvatarAbilities2Scenario3[[#This Row],[takes]],0)</f>
        <v>0.4</v>
      </c>
      <c r="P72" s="20"/>
      <c r="Q72" s="20"/>
      <c r="R72" s="20"/>
      <c r="S72" s="22"/>
    </row>
    <row r="73" spans="11:19" x14ac:dyDescent="0.4">
      <c r="K73" s="11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6</v>
      </c>
      <c r="M73" s="2">
        <f>COUNTIF(Scenario3[winner1-ability2],AvatarAbilities2Scenario3[[#This Row],[ability]])</f>
        <v>1</v>
      </c>
      <c r="N73" s="14">
        <f>IF(SUM(AvatarAbilities2Scenario3[[#This Row],[takes]]) &gt; 0,AvatarAbilities2Scenario3[[#This Row],[takes]]/SUM(AvatarAbilities2Scenario3[takes]),0)</f>
        <v>0.2857142857142857</v>
      </c>
      <c r="O73" s="14">
        <f>IF(AvatarAbilities2Scenario3[[#This Row],[takes]]&gt;0,AvatarAbilities2Scenario3[[#This Row],[wins]]/AvatarAbilities2Scenario3[[#This Row],[takes]],0)</f>
        <v>0.16666666666666666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13</v>
      </c>
      <c r="M76" s="1">
        <f>COUNTIF(Scenario3[winner1-ability3],AvatarAbilities3Scenario3[[#This Row],[ability]])</f>
        <v>5</v>
      </c>
      <c r="N76" s="15">
        <f>IF(SUM(AvatarAbilities3Scenario3[[#This Row],[takes]]) &gt; 0,AvatarAbilities3Scenario3[[#This Row],[takes]]/SUM(AvatarAbilities3Scenario3[takes]),0)</f>
        <v>0.61904761904761907</v>
      </c>
      <c r="O76" s="15">
        <f>IF(AvatarAbilities3Scenario3[[#This Row],[takes]]&gt;0,AvatarAbilities3Scenario3[[#This Row],[wins]]/AvatarAbilities3Scenario3[[#This Row],[takes]],0)</f>
        <v>0.38461538461538464</v>
      </c>
      <c r="P76" s="20"/>
      <c r="Q76" s="20"/>
      <c r="R76" s="20"/>
      <c r="S76" s="22"/>
    </row>
    <row r="77" spans="11:19" x14ac:dyDescent="0.4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4</v>
      </c>
      <c r="M77" s="2">
        <f>COUNTIF(Scenario3[winner1-ability3],AvatarAbilities3Scenario3[[#This Row],[ability]])</f>
        <v>0</v>
      </c>
      <c r="N77" s="13">
        <f>IF(SUM(AvatarAbilities3Scenario3[[#This Row],[takes]]) &gt; 0,AvatarAbilities3Scenario3[[#This Row],[takes]]/SUM(AvatarAbilities3Scenario3[takes]),0)</f>
        <v>0.19047619047619047</v>
      </c>
      <c r="O77" s="13">
        <f>IF(AvatarAbilities3Scenario3[[#This Row],[takes]]&gt;0,AvatarAbilities3Scenario3[[#This Row],[wins]]/AvatarAbilities3Scenario3[[#This Row],[takes]],0)</f>
        <v>0</v>
      </c>
      <c r="P77" s="20"/>
      <c r="Q77" s="20"/>
      <c r="R77" s="20"/>
      <c r="S77" s="22"/>
    </row>
    <row r="78" spans="11:19" x14ac:dyDescent="0.4">
      <c r="K78" s="12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4</v>
      </c>
      <c r="M78" s="1">
        <f>COUNTIF(Scenario3[winner1-ability3],AvatarAbilities3Scenario3[[#This Row],[ability]])</f>
        <v>2</v>
      </c>
      <c r="N78" s="16">
        <f>IF(SUM(AvatarAbilities3Scenario3[[#This Row],[takes]]) &gt; 0,AvatarAbilities3Scenario3[[#This Row],[takes]]/SUM(AvatarAbilities3Scenario3[takes]),0)</f>
        <v>0.19047619047619047</v>
      </c>
      <c r="O78" s="16">
        <f>IF(AvatarAbilities3Scenario3[[#This Row],[takes]]&gt;0,AvatarAbilities3Scenario3[[#This Row],[wins]]/AvatarAbilities3Scenario3[[#This Row],[takes]],0)</f>
        <v>0.5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8</v>
      </c>
      <c r="M81" s="2">
        <f>COUNTIF(Scenario3[winner1-ability4],AvatarAbilities4Scenario3[[#This Row],[ability]])</f>
        <v>4</v>
      </c>
      <c r="N81" s="13">
        <f>IF(SUM(AvatarAbilities4Scenario3[[#This Row],[takes]]) &gt; 0,AvatarAbilities4Scenario3[[#This Row],[takes]]/SUM(AvatarAbilities4Scenario3[takes]),0)</f>
        <v>0.47058823529411764</v>
      </c>
      <c r="O81" s="13">
        <f>IF(AvatarAbilities4Scenario3[[#This Row],[takes]]&gt;0,AvatarAbilities4Scenario3[[#This Row],[wins]]/AvatarAbilities4Scenario3[[#This Row],[takes]],0)</f>
        <v>0.5</v>
      </c>
      <c r="P81" s="20"/>
      <c r="Q81" s="20"/>
      <c r="R81" s="20"/>
      <c r="S81" s="22"/>
    </row>
    <row r="82" spans="11:19" x14ac:dyDescent="0.4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3</v>
      </c>
      <c r="M82" s="2">
        <f>COUNTIF(Scenario3[winner1-ability4],AvatarAbilities4Scenario3[[#This Row],[ability]])</f>
        <v>1</v>
      </c>
      <c r="N82" s="13">
        <f>IF(SUM(AvatarAbilities4Scenario3[[#This Row],[takes]]) &gt; 0,AvatarAbilities4Scenario3[[#This Row],[takes]]/SUM(AvatarAbilities4Scenario3[takes]),0)</f>
        <v>0.17647058823529413</v>
      </c>
      <c r="O82" s="13">
        <f>IF(AvatarAbilities4Scenario3[[#This Row],[takes]]&gt;0,AvatarAbilities4Scenario3[[#This Row],[wins]]/AvatarAbilities4Scenario3[[#This Row],[takes]],0)</f>
        <v>0.33333333333333331</v>
      </c>
      <c r="P82" s="20"/>
      <c r="Q82" s="20"/>
      <c r="R82" s="20"/>
      <c r="S82" s="22"/>
    </row>
    <row r="83" spans="11:19" ht="15" thickBot="1" x14ac:dyDescent="0.45">
      <c r="K83" s="11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3" s="2">
        <f>COUNTIF(Scenario3[winner1-ability4],AvatarAbilities4Scenario3[[#This Row],[ability]])</f>
        <v>2</v>
      </c>
      <c r="N83" s="30">
        <f>IF(SUM(AvatarAbilities4Scenario3[[#This Row],[takes]]) &gt; 0,AvatarAbilities4Scenario3[[#This Row],[takes]]/SUM(AvatarAbilities4Scenario3[takes]),0)</f>
        <v>0.35294117647058826</v>
      </c>
      <c r="O83" s="30">
        <f>IF(AvatarAbilities4Scenario3[[#This Row],[takes]]&gt;0,AvatarAbilities4Scenario3[[#This Row],[wins]]/AvatarAbilities4Scenario3[[#This Row],[takes]],0)</f>
        <v>0.33333333333333331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1" t="s">
        <v>752</v>
      </c>
      <c r="L85" s="42"/>
      <c r="M85" s="42"/>
      <c r="N85" s="42"/>
      <c r="O85" s="42"/>
      <c r="P85" s="42"/>
      <c r="Q85" s="42"/>
      <c r="R85" s="42"/>
      <c r="S85" s="43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168</v>
      </c>
      <c r="S86" s="22" t="s">
        <v>164</v>
      </c>
    </row>
    <row r="87" spans="11:19" x14ac:dyDescent="0.4">
      <c r="K87" t="s">
        <v>44</v>
      </c>
      <c r="L87" s="20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27</v>
      </c>
      <c r="M87" s="20">
        <f>COUNTIF(Scenario4[winner1-ability1],AvatarAbilities1Scenario4[[#This Row],[ability]])</f>
        <v>11</v>
      </c>
      <c r="N87" s="21">
        <f>IF(SUM(AvatarAbilities1Scenario4[[#This Row],[takes]]) &gt; 0,AvatarAbilities1Scenario4[[#This Row],[takes]]/SUM(AvatarAbilities1Scenario4[takes]),0)</f>
        <v>0.77142857142857146</v>
      </c>
      <c r="O87" s="21">
        <f>IF(AvatarAbilities1Scenario4[[#This Row],[takes]]&gt;0,AvatarAbilities1Scenario4[[#This Row],[wins]]/AvatarAbilities1Scenario4[[#This Row],[takes]],0)</f>
        <v>0.40740740740740738</v>
      </c>
      <c r="P87" s="20"/>
      <c r="Q87" s="20">
        <v>1</v>
      </c>
      <c r="R87" s="20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10</v>
      </c>
      <c r="S87" s="22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4</v>
      </c>
    </row>
    <row r="88" spans="11:19" x14ac:dyDescent="0.4">
      <c r="K88" t="s">
        <v>135</v>
      </c>
      <c r="L88" s="20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</v>
      </c>
      <c r="M88" s="20">
        <f>COUNTIF(Scenario4[winner1-ability1],AvatarAbilities1Scenario4[[#This Row],[ability]])</f>
        <v>1</v>
      </c>
      <c r="N88" s="21">
        <f>IF(SUM(AvatarAbilities1Scenario4[[#This Row],[takes]]) &gt; 0,AvatarAbilities1Scenario4[[#This Row],[takes]]/SUM(AvatarAbilities1Scenario4[takes]),0)</f>
        <v>8.5714285714285715E-2</v>
      </c>
      <c r="O88" s="21">
        <f>IF(AvatarAbilities1Scenario4[[#This Row],[takes]]&gt;0,AvatarAbilities1Scenario4[[#This Row],[wins]]/AvatarAbilities1Scenario4[[#This Row],[takes]],0)</f>
        <v>0.33333333333333331</v>
      </c>
      <c r="P88" s="20"/>
      <c r="Q88" s="20">
        <v>2</v>
      </c>
      <c r="R88" s="20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3</v>
      </c>
      <c r="S88" s="22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4</v>
      </c>
    </row>
    <row r="89" spans="11:19" x14ac:dyDescent="0.4">
      <c r="K89" t="s">
        <v>73</v>
      </c>
      <c r="L89" s="20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5</v>
      </c>
      <c r="M89" s="20">
        <f>COUNTIF(Scenario4[winner1-ability1],AvatarAbilities1Scenario4[[#This Row],[ability]])</f>
        <v>0</v>
      </c>
      <c r="N89" s="21">
        <f>IF(SUM(AvatarAbilities1Scenario4[[#This Row],[takes]]) &gt; 0,AvatarAbilities1Scenario4[[#This Row],[takes]]/SUM(AvatarAbilities1Scenario4[takes]),0)</f>
        <v>0.14285714285714285</v>
      </c>
      <c r="O89" s="21">
        <f>IF(AvatarAbilities1Scenario4[[#This Row],[takes]]&gt;0,AvatarAbilities1Scenario4[[#This Row],[wins]]/AvatarAbilities1Scenario4[[#This Row],[takes]],0)</f>
        <v>0</v>
      </c>
      <c r="P89" s="20"/>
      <c r="Q89" s="20">
        <v>3</v>
      </c>
      <c r="R89" s="20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22</v>
      </c>
      <c r="S89" s="22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27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10</v>
      </c>
      <c r="M92" s="2">
        <f>COUNTIF(Scenario4[winner1-ability2],AvatarAbilities2Scenario4[[#This Row],[ability]])</f>
        <v>4</v>
      </c>
      <c r="N92" s="13">
        <f>IF(SUM(AvatarAbilities2Scenario4[[#This Row],[takes]]) &gt; 0,AvatarAbilities2Scenario4[[#This Row],[takes]]/SUM(AvatarAbilities2Scenario4[takes]),0)</f>
        <v>0.2857142857142857</v>
      </c>
      <c r="O92" s="13">
        <f>IF(AvatarAbilities2Scenario4[[#This Row],[takes]]&gt;0,AvatarAbilities2Scenario4[[#This Row],[wins]]/AvatarAbilities2Scenario4[[#This Row],[takes]],0)</f>
        <v>0.4</v>
      </c>
      <c r="P92" s="20"/>
      <c r="Q92" s="20"/>
      <c r="R92" s="20"/>
      <c r="S92" s="22"/>
    </row>
    <row r="93" spans="11:19" x14ac:dyDescent="0.4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22</v>
      </c>
      <c r="M93" s="2">
        <f>COUNTIF(Scenario4[winner1-ability2],AvatarAbilities2Scenario4[[#This Row],[ability]])</f>
        <v>7</v>
      </c>
      <c r="N93" s="21">
        <f>IF(SUM(AvatarAbilities2Scenario4[[#This Row],[takes]]) &gt; 0,AvatarAbilities2Scenario4[[#This Row],[takes]]/SUM(AvatarAbilities2Scenario4[takes]),0)</f>
        <v>0.62857142857142856</v>
      </c>
      <c r="O93" s="21">
        <f>IF(AvatarAbilities2Scenario4[[#This Row],[takes]]&gt;0,AvatarAbilities2Scenario4[[#This Row],[wins]]/AvatarAbilities2Scenario4[[#This Row],[takes]],0)</f>
        <v>0.31818181818181818</v>
      </c>
      <c r="P93" s="20"/>
      <c r="Q93" s="20"/>
      <c r="R93" s="20"/>
      <c r="S93" s="22"/>
    </row>
    <row r="94" spans="11:19" x14ac:dyDescent="0.4">
      <c r="K94" s="11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3</v>
      </c>
      <c r="M94" s="2">
        <f>COUNTIF(Scenario4[winner1-ability2],AvatarAbilities2Scenario4[[#This Row],[ability]])</f>
        <v>1</v>
      </c>
      <c r="N94" s="14">
        <f>IF(SUM(AvatarAbilities2Scenario4[[#This Row],[takes]]) &gt; 0,AvatarAbilities2Scenario4[[#This Row],[takes]]/SUM(AvatarAbilities2Scenario4[takes]),0)</f>
        <v>8.5714285714285715E-2</v>
      </c>
      <c r="O94" s="14">
        <f>IF(AvatarAbilities2Scenario4[[#This Row],[takes]]&gt;0,AvatarAbilities2Scenario4[[#This Row],[wins]]/AvatarAbilities2Scenario4[[#This Row],[takes]],0)</f>
        <v>0.33333333333333331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12</v>
      </c>
      <c r="M97" s="1">
        <f>COUNTIF(Scenario4[winner1-ability3],AvatarAbilities3Scenario4[[#This Row],[ability]])</f>
        <v>4</v>
      </c>
      <c r="N97" s="15">
        <f>IF(SUM(AvatarAbilities3Scenario4[[#This Row],[takes]]) &gt; 0,AvatarAbilities3Scenario4[[#This Row],[takes]]/SUM(AvatarAbilities3Scenario4[takes]),0)</f>
        <v>0.34285714285714286</v>
      </c>
      <c r="O97" s="15">
        <f>IF(AvatarAbilities3Scenario4[[#This Row],[takes]]&gt;0,AvatarAbilities3Scenario4[[#This Row],[wins]]/AvatarAbilities3Scenario4[[#This Row],[takes]],0)</f>
        <v>0.33333333333333331</v>
      </c>
      <c r="P97" s="20"/>
      <c r="Q97" s="20"/>
      <c r="R97" s="20"/>
      <c r="S97" s="22"/>
    </row>
    <row r="98" spans="11:19" x14ac:dyDescent="0.4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10</v>
      </c>
      <c r="M98" s="2">
        <f>COUNTIF(Scenario4[winner1-ability3],AvatarAbilities3Scenario4[[#This Row],[ability]])</f>
        <v>2</v>
      </c>
      <c r="N98" s="13">
        <f>IF(SUM(AvatarAbilities3Scenario4[[#This Row],[takes]]) &gt; 0,AvatarAbilities3Scenario4[[#This Row],[takes]]/SUM(AvatarAbilities3Scenario4[takes]),0)</f>
        <v>0.2857142857142857</v>
      </c>
      <c r="O98" s="13">
        <f>IF(AvatarAbilities3Scenario4[[#This Row],[takes]]&gt;0,AvatarAbilities3Scenario4[[#This Row],[wins]]/AvatarAbilities3Scenario4[[#This Row],[takes]],0)</f>
        <v>0.2</v>
      </c>
      <c r="P98" s="20"/>
      <c r="Q98" s="20"/>
      <c r="R98" s="20"/>
      <c r="S98" s="22"/>
    </row>
    <row r="99" spans="11:19" x14ac:dyDescent="0.4">
      <c r="K99" s="12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13</v>
      </c>
      <c r="M99" s="1">
        <f>COUNTIF(Scenario4[winner1-ability3],AvatarAbilities3Scenario4[[#This Row],[ability]])</f>
        <v>6</v>
      </c>
      <c r="N99" s="16">
        <f>IF(SUM(AvatarAbilities3Scenario4[[#This Row],[takes]]) &gt; 0,AvatarAbilities3Scenario4[[#This Row],[takes]]/SUM(AvatarAbilities3Scenario4[takes]),0)</f>
        <v>0.37142857142857144</v>
      </c>
      <c r="O99" s="16">
        <f>IF(AvatarAbilities3Scenario4[[#This Row],[takes]]&gt;0,AvatarAbilities3Scenario4[[#This Row],[wins]]/AvatarAbilities3Scenario4[[#This Row],[takes]],0)</f>
        <v>0.46153846153846156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17</v>
      </c>
      <c r="M102" s="2">
        <f>COUNTIF(Scenario4[winner1-ability4],AvatarAbilities4Scenario4[[#This Row],[ability]])</f>
        <v>9</v>
      </c>
      <c r="N102" s="13">
        <f>IF(SUM(AvatarAbilities4Scenario4[[#This Row],[takes]]) &gt; 0,AvatarAbilities4Scenario4[[#This Row],[takes]]/SUM(AvatarAbilities4Scenario4[takes]),0)</f>
        <v>0.56666666666666665</v>
      </c>
      <c r="O102" s="13">
        <f>IF(AvatarAbilities4Scenario4[[#This Row],[takes]]&gt;0,AvatarAbilities4Scenario4[[#This Row],[wins]]/AvatarAbilities4Scenario4[[#This Row],[takes]],0)</f>
        <v>0.52941176470588236</v>
      </c>
      <c r="P102" s="20"/>
      <c r="Q102" s="20"/>
      <c r="R102" s="20"/>
      <c r="S102" s="22"/>
    </row>
    <row r="103" spans="11:19" x14ac:dyDescent="0.4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3" s="2">
        <f>COUNTIF(Scenario4[winner1-ability4],AvatarAbilities4Scenario4[[#This Row],[ability]])</f>
        <v>0</v>
      </c>
      <c r="N103" s="13">
        <f>IF(SUM(AvatarAbilities4Scenario4[[#This Row],[takes]]) &gt; 0,AvatarAbilities4Scenario4[[#This Row],[takes]]/SUM(AvatarAbilities4Scenario4[takes]),0)</f>
        <v>0</v>
      </c>
      <c r="O103" s="13">
        <f>IF(AvatarAbilities4Scenario4[[#This Row],[takes]]&gt;0,AvatarAbilities4Scenario4[[#This Row],[wins]]/AvatarAbilities4Scenario4[[#This Row],[takes]],0)</f>
        <v>0</v>
      </c>
      <c r="P103" s="20"/>
      <c r="Q103" s="20"/>
      <c r="R103" s="20"/>
      <c r="S103" s="22"/>
    </row>
    <row r="104" spans="11:19" ht="15" thickBot="1" x14ac:dyDescent="0.45">
      <c r="K104" s="11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13</v>
      </c>
      <c r="M104" s="2">
        <f>COUNTIF(Scenario4[winner1-ability4],AvatarAbilities4Scenario4[[#This Row],[ability]])</f>
        <v>3</v>
      </c>
      <c r="N104" s="30">
        <f>IF(SUM(AvatarAbilities4Scenario4[[#This Row],[takes]]) &gt; 0,AvatarAbilities4Scenario4[[#This Row],[takes]]/SUM(AvatarAbilities4Scenario4[takes]),0)</f>
        <v>0.43333333333333335</v>
      </c>
      <c r="O104" s="30">
        <f>IF(AvatarAbilities4Scenario4[[#This Row],[takes]]&gt;0,AvatarAbilities4Scenario4[[#This Row],[wins]]/AvatarAbilities4Scenario4[[#This Row],[takes]],0)</f>
        <v>0.23076923076923078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1" t="s">
        <v>824</v>
      </c>
      <c r="L106" s="42"/>
      <c r="M106" s="42"/>
      <c r="N106" s="42"/>
      <c r="O106" s="42"/>
      <c r="P106" s="42"/>
      <c r="Q106" s="42"/>
      <c r="R106" s="42"/>
      <c r="S106" s="43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168</v>
      </c>
      <c r="S107" s="22" t="s">
        <v>164</v>
      </c>
    </row>
    <row r="108" spans="11:19" x14ac:dyDescent="0.4">
      <c r="K108" t="s">
        <v>44</v>
      </c>
      <c r="L108" s="2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0</v>
      </c>
      <c r="M108" s="20">
        <f>COUNTIF(Scenario5[winner1-ability1],AvatarAbilities1Scenario5[[#This Row],[ability]])+COUNTIF(Scenario5[winner2-ability1],AvatarAbilities1Scenario5[[#This Row],[ability]])</f>
        <v>0</v>
      </c>
      <c r="N108" s="21">
        <f>IF(SUM(AvatarAbilities1Scenario5[[#This Row],[takes]]) &gt; 0,AvatarAbilities1Scenario5[[#This Row],[takes]]/SUM(AvatarAbilities1Scenario5[takes]),0)</f>
        <v>0</v>
      </c>
      <c r="O108" s="21">
        <f>IF(AvatarAbilities1Scenario5[[#This Row],[takes]]&gt;0,AvatarAbilities1Scenario5[[#This Row],[wins]]/AvatarAbilities1Scenario5[[#This Row],[takes]],0)</f>
        <v>0</v>
      </c>
      <c r="P108" s="20"/>
      <c r="Q108" s="20">
        <v>1</v>
      </c>
      <c r="R108" s="2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</v>
      </c>
      <c r="S108" s="22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3</v>
      </c>
    </row>
    <row r="109" spans="11:19" x14ac:dyDescent="0.4">
      <c r="K109" t="s">
        <v>135</v>
      </c>
      <c r="L109" s="2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</v>
      </c>
      <c r="M109" s="20">
        <f>COUNTIF(Scenario5[winner1-ability1],AvatarAbilities1Scenario5[[#This Row],[ability]])+COUNTIF(Scenario5[winner2-ability1],AvatarAbilities1Scenario5[[#This Row],[ability]])</f>
        <v>0</v>
      </c>
      <c r="N109" s="21">
        <f>IF(SUM(AvatarAbilities1Scenario5[[#This Row],[takes]]) &gt; 0,AvatarAbilities1Scenario5[[#This Row],[takes]]/SUM(AvatarAbilities1Scenario5[takes]),0)</f>
        <v>0.2</v>
      </c>
      <c r="O109" s="21">
        <f>IF(AvatarAbilities1Scenario5[[#This Row],[takes]]&gt;0,AvatarAbilities1Scenario5[[#This Row],[wins]]/AvatarAbilities1Scenario5[[#This Row],[takes]],0)</f>
        <v>0</v>
      </c>
      <c r="P109" s="20"/>
      <c r="Q109" s="20">
        <v>2</v>
      </c>
      <c r="R109" s="2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1</v>
      </c>
      <c r="S109" s="22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0</v>
      </c>
    </row>
    <row r="110" spans="11:19" x14ac:dyDescent="0.4">
      <c r="K110" t="s">
        <v>73</v>
      </c>
      <c r="L110" s="2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4</v>
      </c>
      <c r="M110" s="20">
        <f>COUNTIF(Scenario5[winner1-ability1],AvatarAbilities1Scenario5[[#This Row],[ability]])+COUNTIF(Scenario5[winner2-ability1],AvatarAbilities1Scenario5[[#This Row],[ability]])</f>
        <v>1</v>
      </c>
      <c r="N110" s="21">
        <f>IF(SUM(AvatarAbilities1Scenario5[[#This Row],[takes]]) &gt; 0,AvatarAbilities1Scenario5[[#This Row],[takes]]/SUM(AvatarAbilities1Scenario5[takes]),0)</f>
        <v>0.8</v>
      </c>
      <c r="O110" s="21">
        <f>IF(AvatarAbilities1Scenario5[[#This Row],[takes]]&gt;0,AvatarAbilities1Scenario5[[#This Row],[wins]]/AvatarAbilities1Scenario5[[#This Row],[takes]],0)</f>
        <v>0.25</v>
      </c>
      <c r="P110" s="20"/>
      <c r="Q110" s="20">
        <v>3</v>
      </c>
      <c r="R110" s="2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</v>
      </c>
      <c r="S110" s="22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2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</v>
      </c>
      <c r="M113" s="2">
        <f>COUNTIF(Scenario5[winner1-ability2],AvatarAbilities2Scenario5[[#This Row],[ability]])+COUNTIF(Scenario5[winner2-ability2],AvatarAbilities2Scenario5[[#This Row],[ability]])</f>
        <v>1</v>
      </c>
      <c r="N113" s="13">
        <f>IF(SUM(AvatarAbilities2Scenario5[[#This Row],[takes]]) &gt; 0,AvatarAbilities2Scenario5[[#This Row],[takes]]/SUM(AvatarAbilities2Scenario5[takes]),0)</f>
        <v>1</v>
      </c>
      <c r="O113" s="13">
        <f>IF(AvatarAbilities2Scenario5[[#This Row],[takes]]&gt;0,AvatarAbilities2Scenario5[[#This Row],[wins]]/AvatarAbilities2Scenario5[[#This Row],[takes]],0)</f>
        <v>0.2</v>
      </c>
      <c r="P113" s="20"/>
      <c r="Q113" s="20"/>
      <c r="R113" s="20"/>
      <c r="S113" s="22"/>
    </row>
    <row r="114" spans="11:19" x14ac:dyDescent="0.4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4" s="2">
        <f>COUNTIF(Scenario5[winner1-ability2],AvatarAbilities2Scenario5[[#This Row],[ability]])+COUNTIF(Scenario5[winner2-ability2],AvatarAbilities2Scenario5[[#This Row],[ability]])</f>
        <v>0</v>
      </c>
      <c r="N114" s="21">
        <f>IF(SUM(AvatarAbilities2Scenario5[[#This Row],[takes]]) &gt; 0,AvatarAbilities2Scenario5[[#This Row],[takes]]/SUM(AvatarAbilities2Scenario5[takes]),0)</f>
        <v>0</v>
      </c>
      <c r="O114" s="21">
        <f>IF(AvatarAbilities2Scenario5[[#This Row],[takes]]&gt;0,AvatarAbilities2Scenario5[[#This Row],[wins]]/AvatarAbilities2Scenario5[[#This Row],[takes]],0)</f>
        <v>0</v>
      </c>
      <c r="P114" s="20"/>
      <c r="Q114" s="20"/>
      <c r="R114" s="20"/>
      <c r="S114" s="22"/>
    </row>
    <row r="115" spans="11:19" x14ac:dyDescent="0.4">
      <c r="K115" s="11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5" s="2">
        <f>COUNTIF(Scenario5[winner1-ability2],AvatarAbilities2Scenario5[[#This Row],[ability]])+COUNTIF(Scenario5[winner2-ability2],AvatarAbilities2Scenario5[[#This Row],[ability]])</f>
        <v>0</v>
      </c>
      <c r="N115" s="14">
        <f>IF(SUM(AvatarAbilities2Scenario5[[#This Row],[takes]]) &gt; 0,AvatarAbilities2Scenario5[[#This Row],[takes]]/SUM(AvatarAbilities2Scenario5[takes]),0)</f>
        <v>0</v>
      </c>
      <c r="O115" s="14">
        <f>IF(AvatarAbilities2Scenario5[[#This Row],[takes]]&gt;0,AvatarAbilities2Scenario5[[#This Row],[wins]]/AvatarAbilities2Scenario5[[#This Row],[takes]],0)</f>
        <v>0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0</v>
      </c>
      <c r="M118" s="1">
        <f>COUNTIF(Scenario5[winner1-ability3],AvatarAbilities3Scenario5[[#This Row],[ability]])+COUNTIF(Scenario5[winner2-ability3],AvatarAbilities3Scenario5[[#This Row],[ability]])</f>
        <v>0</v>
      </c>
      <c r="N118" s="15">
        <f>IF(SUM(AvatarAbilities3Scenario5[[#This Row],[takes]]) &gt; 0,AvatarAbilities3Scenario5[[#This Row],[takes]]/SUM(AvatarAbilities3Scenario5[takes]),0)</f>
        <v>0</v>
      </c>
      <c r="O118" s="15">
        <f>IF(AvatarAbilities3Scenario5[[#This Row],[takes]]&gt;0,AvatarAbilities3Scenario5[[#This Row],[wins]]/AvatarAbilities3Scenario5[[#This Row],[takes]],0)</f>
        <v>0</v>
      </c>
      <c r="P118" s="20"/>
      <c r="Q118" s="20"/>
      <c r="R118" s="20"/>
      <c r="S118" s="22"/>
    </row>
    <row r="119" spans="11:19" x14ac:dyDescent="0.4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</v>
      </c>
      <c r="M119" s="2">
        <f>COUNTIF(Scenario5[winner1-ability3],AvatarAbilities3Scenario5[[#This Row],[ability]])+COUNTIF(Scenario5[winner2-ability3],AvatarAbilities3Scenario5[[#This Row],[ability]])</f>
        <v>1</v>
      </c>
      <c r="N119" s="13">
        <f>IF(SUM(AvatarAbilities3Scenario5[[#This Row],[takes]]) &gt; 0,AvatarAbilities3Scenario5[[#This Row],[takes]]/SUM(AvatarAbilities3Scenario5[takes]),0)</f>
        <v>0.6</v>
      </c>
      <c r="O119" s="13">
        <f>IF(AvatarAbilities3Scenario5[[#This Row],[takes]]&gt;0,AvatarAbilities3Scenario5[[#This Row],[wins]]/AvatarAbilities3Scenario5[[#This Row],[takes]],0)</f>
        <v>0.33333333333333331</v>
      </c>
      <c r="P119" s="20"/>
      <c r="Q119" s="20"/>
      <c r="R119" s="20"/>
      <c r="S119" s="22"/>
    </row>
    <row r="120" spans="11:19" x14ac:dyDescent="0.4">
      <c r="K120" s="12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</v>
      </c>
      <c r="M120" s="1">
        <f>COUNTIF(Scenario5[winner1-ability3],AvatarAbilities3Scenario5[[#This Row],[ability]])+COUNTIF(Scenario5[winner2-ability3],AvatarAbilities3Scenario5[[#This Row],[ability]])</f>
        <v>0</v>
      </c>
      <c r="N120" s="16">
        <f>IF(SUM(AvatarAbilities3Scenario5[[#This Row],[takes]]) &gt; 0,AvatarAbilities3Scenario5[[#This Row],[takes]]/SUM(AvatarAbilities3Scenario5[takes]),0)</f>
        <v>0.4</v>
      </c>
      <c r="O120" s="16">
        <f>IF(AvatarAbilities3Scenario5[[#This Row],[takes]]&gt;0,AvatarAbilities3Scenario5[[#This Row],[wins]]/AvatarAbilities3Scenario5[[#This Row],[takes]],0)</f>
        <v>0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</v>
      </c>
      <c r="M123" s="2">
        <f>COUNTIF(Scenario5[winner1-ability4],AvatarAbilities4Scenario5[[#This Row],[ability]])+COUNTIF(Scenario5[winner2-ability4],AvatarAbilities4Scenario5[[#This Row],[ability]])</f>
        <v>1</v>
      </c>
      <c r="N123" s="13">
        <f>IF(SUM(AvatarAbilities4Scenario5[[#This Row],[takes]]) &gt; 0,AvatarAbilities4Scenario5[[#This Row],[takes]]/SUM(AvatarAbilities4Scenario5[takes]),0)</f>
        <v>0.5</v>
      </c>
      <c r="O123" s="13">
        <f>IF(AvatarAbilities4Scenario5[[#This Row],[takes]]&gt;0,AvatarAbilities4Scenario5[[#This Row],[wins]]/AvatarAbilities4Scenario5[[#This Row],[takes]],0)</f>
        <v>0.5</v>
      </c>
      <c r="P123" s="20"/>
      <c r="Q123" s="20"/>
      <c r="R123" s="20"/>
      <c r="S123" s="22"/>
    </row>
    <row r="124" spans="11:19" x14ac:dyDescent="0.4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0</v>
      </c>
      <c r="M124" s="2">
        <f>COUNTIF(Scenario5[winner1-ability4],AvatarAbilities4Scenario5[[#This Row],[ability]])+COUNTIF(Scenario5[winner2-ability4],AvatarAbilities4Scenario5[[#This Row],[ability]])</f>
        <v>0</v>
      </c>
      <c r="N124" s="13">
        <f>IF(SUM(AvatarAbilities4Scenario5[[#This Row],[takes]]) &gt; 0,AvatarAbilities4Scenario5[[#This Row],[takes]]/SUM(AvatarAbilities4Scenario5[takes]),0)</f>
        <v>0</v>
      </c>
      <c r="O124" s="13">
        <f>IF(AvatarAbilities4Scenario5[[#This Row],[takes]]&gt;0,AvatarAbilities4Scenario5[[#This Row],[wins]]/AvatarAbilities4Scenario5[[#This Row],[takes]],0)</f>
        <v>0</v>
      </c>
      <c r="P124" s="20"/>
      <c r="Q124" s="20"/>
      <c r="R124" s="20"/>
      <c r="S124" s="22"/>
    </row>
    <row r="125" spans="11:19" ht="15" thickBot="1" x14ac:dyDescent="0.45">
      <c r="K125" s="11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</v>
      </c>
      <c r="M125" s="2">
        <f>COUNTIF(Scenario5[winner1-ability4],AvatarAbilities4Scenario5[[#This Row],[ability]])+COUNTIF(Scenario5[winner2-ability4],AvatarAbilities4Scenario5[[#This Row],[ability]])</f>
        <v>0</v>
      </c>
      <c r="N125" s="30">
        <f>IF(SUM(AvatarAbilities4Scenario5[[#This Row],[takes]]) &gt; 0,AvatarAbilities4Scenario5[[#This Row],[takes]]/SUM(AvatarAbilities4Scenario5[takes]),0)</f>
        <v>0.5</v>
      </c>
      <c r="O125" s="30">
        <f>IF(AvatarAbilities4Scenario5[[#This Row],[takes]]&gt;0,AvatarAbilities4Scenario5[[#This Row],[wins]]/AvatarAbilities4Scenario5[[#This Row],[takes]],0)</f>
        <v>0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topLeftCell="A99" workbookViewId="0">
      <selection activeCell="H10" sqref="H10"/>
    </sheetView>
  </sheetViews>
  <sheetFormatPr defaultRowHeight="14.6" x14ac:dyDescent="0.4"/>
  <cols>
    <col min="1" max="1" width="17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69140625" bestFit="1" customWidth="1"/>
    <col min="9" max="9" width="11.84375" bestFit="1" customWidth="1"/>
    <col min="10" max="10" width="3.84375" customWidth="1"/>
    <col min="11" max="11" width="17.1523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6.69140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3"/>
      <c r="K1" s="41" t="s">
        <v>392</v>
      </c>
      <c r="L1" s="42"/>
      <c r="M1" s="42"/>
      <c r="N1" s="42"/>
      <c r="O1" s="42"/>
      <c r="P1" s="42"/>
      <c r="Q1" s="42"/>
      <c r="R1" s="42"/>
      <c r="S1" s="43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169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169</v>
      </c>
      <c r="S2" s="22" t="s">
        <v>164</v>
      </c>
      <c r="T2" s="20"/>
      <c r="U2" t="s">
        <v>411</v>
      </c>
      <c r="V2" s="3">
        <f>H4/SUM(ShadowEquip[bow])</f>
        <v>0.38515901060070673</v>
      </c>
    </row>
    <row r="3" spans="1:22" x14ac:dyDescent="0.4">
      <c r="A3" t="s">
        <v>47</v>
      </c>
      <c r="B3" s="20">
        <f>L3+L24+L45+L66+L87+L108</f>
        <v>188</v>
      </c>
      <c r="C3" s="20">
        <f>M3+M24+M45+M66+M87+M108</f>
        <v>102</v>
      </c>
      <c r="D3" s="21">
        <f>IF(SUM(ShadowAbilities1[[#This Row],[takes]]) &gt; 0,ShadowAbilities1[[#This Row],[takes]]/SUM(ShadowAbilities1[takes]),0)</f>
        <v>0.66431095406360419</v>
      </c>
      <c r="E3" s="21">
        <f>IF(ShadowAbilities1[[#This Row],[takes]]&gt;0,ShadowAbilities1[[#This Row],[wins]]/ShadowAbilities1[[#This Row],[takes]],0)</f>
        <v>0.54255319148936165</v>
      </c>
      <c r="F3" s="20"/>
      <c r="G3" s="20">
        <v>1</v>
      </c>
      <c r="H3" s="20">
        <f>R3+R24+R45+R66+R87+R108</f>
        <v>6</v>
      </c>
      <c r="I3" s="22">
        <f>S3+S24+S45+S66+S87+S108</f>
        <v>205</v>
      </c>
      <c r="K3" t="s">
        <v>47</v>
      </c>
      <c r="L3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100</v>
      </c>
      <c r="M3" s="20">
        <f>COUNTIF(Scenario0[winner1-ability1],ShadowAbilities1Scenario0[[#This Row],[ability]])+COUNTIF(Scenario0[winner2-ability1],ShadowAbilities1Scenario0[[#This Row],[ability]])</f>
        <v>60</v>
      </c>
      <c r="N3" s="21">
        <f>IF(SUM(ShadowAbilities1Scenario0[[#This Row],[takes]]) &gt; 0,ShadowAbilities1Scenario0[[#This Row],[takes]]/SUM(ShadowAbilities1Scenario0[takes]),0)</f>
        <v>0.95238095238095233</v>
      </c>
      <c r="O3" s="21">
        <f>IF(ShadowAbilities1Scenario0[[#This Row],[takes]]&gt;0,ShadowAbilities1Scenario0[[#This Row],[wins]]/ShadowAbilities1Scenario0[[#This Row],[takes]],0)</f>
        <v>0.6</v>
      </c>
      <c r="P3" s="20"/>
      <c r="Q3" s="20">
        <v>1</v>
      </c>
      <c r="R3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</v>
      </c>
      <c r="S3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87</v>
      </c>
      <c r="T3" s="20"/>
      <c r="U3" t="s">
        <v>412</v>
      </c>
      <c r="V3" s="18">
        <f>H5/SUM(ShadowEquip[bow])</f>
        <v>0.59363957597173145</v>
      </c>
    </row>
    <row r="4" spans="1:22" x14ac:dyDescent="0.4">
      <c r="A4" t="s">
        <v>86</v>
      </c>
      <c r="B4" s="20">
        <f t="shared" ref="B4:B5" si="0">L4+L25+L46+L67+L88+L109</f>
        <v>65</v>
      </c>
      <c r="C4" s="20">
        <f t="shared" ref="C4:C5" si="1">M4+M25+M46+M67+M88+M109</f>
        <v>28</v>
      </c>
      <c r="D4" s="21">
        <f>IF(SUM(ShadowAbilities1[[#This Row],[takes]]) &gt; 0,ShadowAbilities1[[#This Row],[takes]]/SUM(ShadowAbilities1[takes]),0)</f>
        <v>0.22968197879858657</v>
      </c>
      <c r="E4" s="21">
        <f>IF(ShadowAbilities1[[#This Row],[takes]]&gt;0,ShadowAbilities1[[#This Row],[wins]]/ShadowAbilities1[[#This Row],[takes]],0)</f>
        <v>0.43076923076923079</v>
      </c>
      <c r="F4" s="20"/>
      <c r="G4" s="20">
        <v>2</v>
      </c>
      <c r="H4" s="20">
        <f t="shared" ref="H4:H5" si="2">R4+R25+R46+R67+R88+R109</f>
        <v>109</v>
      </c>
      <c r="I4" s="22">
        <f t="shared" ref="I4:I5" si="3">S4+S25+S46+S67+S88+S109</f>
        <v>31</v>
      </c>
      <c r="K4" t="s">
        <v>86</v>
      </c>
      <c r="L4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5</v>
      </c>
      <c r="M4" s="20">
        <f>COUNTIF(Scenario0[winner1-ability1],ShadowAbilities1Scenario0[[#This Row],[ability]])+COUNTIF(Scenario0[winner2-ability1],ShadowAbilities1Scenario0[[#This Row],[ability]])</f>
        <v>3</v>
      </c>
      <c r="N4" s="21">
        <f>IF(SUM(ShadowAbilities1Scenario0[[#This Row],[takes]]) &gt; 0,ShadowAbilities1Scenario0[[#This Row],[takes]]/SUM(ShadowAbilities1Scenario0[takes]),0)</f>
        <v>4.7619047619047616E-2</v>
      </c>
      <c r="O4" s="21">
        <f>IF(ShadowAbilities1Scenario0[[#This Row],[takes]]&gt;0,ShadowAbilities1Scenario0[[#This Row],[wins]]/ShadowAbilities1Scenario0[[#This Row],[takes]],0)</f>
        <v>0.6</v>
      </c>
      <c r="P4" s="20"/>
      <c r="Q4" s="20">
        <v>2</v>
      </c>
      <c r="R4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42</v>
      </c>
      <c r="S4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10</v>
      </c>
      <c r="T4" s="20"/>
      <c r="U4" t="s">
        <v>179</v>
      </c>
      <c r="V4" s="3">
        <f>ShadowEquip[[#This Row],[chestpiece]]/SUM(ShadowEquip[chestpiece])</f>
        <v>0.10954063604240283</v>
      </c>
    </row>
    <row r="5" spans="1:22" x14ac:dyDescent="0.4">
      <c r="A5" t="s">
        <v>140</v>
      </c>
      <c r="B5" s="20">
        <f t="shared" si="0"/>
        <v>30</v>
      </c>
      <c r="C5" s="20">
        <f t="shared" si="1"/>
        <v>16</v>
      </c>
      <c r="D5" s="21">
        <f>IF(SUM(ShadowAbilities1[[#This Row],[takes]]) &gt; 0,ShadowAbilities1[[#This Row],[takes]]/SUM(ShadowAbilities1[takes]),0)</f>
        <v>0.10600706713780919</v>
      </c>
      <c r="E5" s="21">
        <f>IF(ShadowAbilities1[[#This Row],[takes]]&gt;0,ShadowAbilities1[[#This Row],[wins]]/ShadowAbilities1[[#This Row],[takes]],0)</f>
        <v>0.53333333333333333</v>
      </c>
      <c r="F5" s="20"/>
      <c r="G5" s="20">
        <v>3</v>
      </c>
      <c r="H5" s="20">
        <f t="shared" si="2"/>
        <v>168</v>
      </c>
      <c r="I5" s="22">
        <f t="shared" si="3"/>
        <v>47</v>
      </c>
      <c r="K5" t="s">
        <v>140</v>
      </c>
      <c r="L5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5" s="20">
        <f>COUNTIF(Scenario0[winner1-ability1],ShadowAbilities1Scenario0[[#This Row],[ability]])+COUNTIF(Scenario0[winner2-ability1],ShadowAbilities1Scenario0[[#This Row],[ability]])</f>
        <v>0</v>
      </c>
      <c r="N5" s="21">
        <f>IF(SUM(ShadowAbilities1Scenario0[[#This Row],[takes]]) &gt; 0,ShadowAbilities1Scenario0[[#This Row],[takes]]/SUM(ShadowAbilities1Scenario0[takes]),0)</f>
        <v>0</v>
      </c>
      <c r="O5" s="21">
        <f>IF(ShadowAbilities1Scenario0[[#This Row],[takes]]&gt;0,ShadowAbilities1Scenario0[[#This Row],[wins]]/ShadowAbilities1Scenario0[[#This Row],[takes]],0)</f>
        <v>0</v>
      </c>
      <c r="P5" s="20"/>
      <c r="Q5" s="20">
        <v>3</v>
      </c>
      <c r="R5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59</v>
      </c>
      <c r="S5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</v>
      </c>
      <c r="T5" s="20"/>
      <c r="U5" t="s">
        <v>180</v>
      </c>
      <c r="V5" s="18">
        <f>ShadowEquip[[#This Row],[chestpiece]]/SUM(ShadowEquip[chestpiece])</f>
        <v>0.16607773851590105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SUM(ShadowAbilities2[takes])/SUM(ShadowAbilities1[takes])</f>
        <v>0.36042402826855124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SUM(ShadowAbilities3[takes])/SUM(ShadowAbilities1[takes])</f>
        <v>0.24028268551236748</v>
      </c>
    </row>
    <row r="8" spans="1:22" x14ac:dyDescent="0.4">
      <c r="A8" s="2" t="s">
        <v>141</v>
      </c>
      <c r="B8" s="2">
        <f>L8+L29+L50+L71+L92+L113</f>
        <v>34</v>
      </c>
      <c r="C8" s="2">
        <f>M8+M29+M50+M71+M92+M113</f>
        <v>15</v>
      </c>
      <c r="D8" s="13">
        <f>IF(SUM(ShadowAbilities2[[#This Row],[takes]]) &gt; 0,ShadowAbilities2[[#This Row],[takes]]/SUM(ShadowAbilities2[takes]),0)</f>
        <v>0.33333333333333331</v>
      </c>
      <c r="E8" s="13">
        <f>IF(ShadowAbilities2[[#This Row],[takes]]&gt;0,ShadowAbilities2[[#This Row],[wins]]/ShadowAbilities2[[#This Row],[takes]],0)</f>
        <v>0.44117647058823528</v>
      </c>
      <c r="F8" s="20"/>
      <c r="G8" s="20"/>
      <c r="H8" s="20"/>
      <c r="I8" s="22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8" s="2">
        <f>COUNTIF(Scenario0[winner1-ability2],ShadowAbilities2Scenario0[[#This Row],[ability]])+COUNTIF(Scenario0[winner2-ability2],ShadowAbilities2Scenario0[[#This Row],[ability]])</f>
        <v>2</v>
      </c>
      <c r="N8" s="13">
        <f>IF(SUM(ShadowAbilities2Scenario0[[#This Row],[takes]]) &gt; 0,ShadowAbilities2Scenario0[[#This Row],[takes]]/SUM(ShadowAbilities2Scenario0[takes]),0)</f>
        <v>0.14285714285714285</v>
      </c>
      <c r="O8" s="13">
        <f>IF(ShadowAbilities2Scenario0[[#This Row],[takes]]&gt;0,ShadowAbilities2Scenario0[[#This Row],[wins]]/ShadowAbilities2Scenario0[[#This Row],[takes]],0)</f>
        <v>0.66666666666666663</v>
      </c>
      <c r="P8" s="20"/>
      <c r="Q8" s="20"/>
      <c r="R8" s="20"/>
      <c r="S8" s="22"/>
      <c r="T8" s="20"/>
      <c r="U8" t="s">
        <v>178</v>
      </c>
      <c r="V8" s="18">
        <f>SUM(ShadowAbilities4[takes])/SUM(ShadowAbilities1[takes])</f>
        <v>0.17667844522968199</v>
      </c>
    </row>
    <row r="9" spans="1:22" x14ac:dyDescent="0.4">
      <c r="A9" t="s">
        <v>92</v>
      </c>
      <c r="B9" s="2">
        <f t="shared" ref="B9:B10" si="4">L9+L30+L51+L72+L93+L114</f>
        <v>11</v>
      </c>
      <c r="C9" s="2">
        <f t="shared" ref="C9:C10" si="5">M9+M30+M51+M72+M93+M114</f>
        <v>7</v>
      </c>
      <c r="D9" s="21">
        <f>IF(SUM(ShadowAbilities2[[#This Row],[takes]]) &gt; 0,ShadowAbilities2[[#This Row],[takes]]/SUM(ShadowAbilities2[takes]),0)</f>
        <v>0.10784313725490197</v>
      </c>
      <c r="E9" s="21">
        <f>IF(ShadowAbilities2[[#This Row],[takes]]&gt;0,ShadowAbilities2[[#This Row],[wins]]/ShadowAbilities2[[#This Row],[takes]],0)</f>
        <v>0.63636363636363635</v>
      </c>
      <c r="F9" s="20"/>
      <c r="G9" s="20"/>
      <c r="H9" s="20"/>
      <c r="I9" s="22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9" s="2">
        <f>COUNTIF(Scenario0[winner1-ability2],ShadowAbilities2Scenario0[[#This Row],[ability]])+COUNTIF(Scenario0[winner2-ability2],ShadowAbilities2Scenario0[[#This Row],[ability]])</f>
        <v>3</v>
      </c>
      <c r="N9" s="21">
        <f>IF(SUM(ShadowAbilities2Scenario0[[#This Row],[takes]]) &gt; 0,ShadowAbilities2Scenario0[[#This Row],[takes]]/SUM(ShadowAbilities2Scenario0[takes]),0)</f>
        <v>0.14285714285714285</v>
      </c>
      <c r="O9" s="21">
        <f>IF(ShadowAbilities2Scenario0[[#This Row],[takes]]&gt;0,ShadowAbilities2Scenario0[[#This Row],[wins]]/ShadowAbilities2Scenario0[[#This Row],[takes]],0)</f>
        <v>1</v>
      </c>
      <c r="P9" s="20"/>
      <c r="Q9" s="20"/>
      <c r="R9" s="20"/>
      <c r="S9" s="22"/>
      <c r="T9" s="20"/>
      <c r="U9" t="s">
        <v>404</v>
      </c>
      <c r="V9" s="39">
        <f>(SUM(ShadowAbilities2[takes])+SUM(ShadowAbilities3[takes])+SUM(ShadowAbilities4[takes])+SUM(H4:H5)+SUM(I4:I5))/SUM(ShadowAbilities1[takes])</f>
        <v>2.0318021201413425</v>
      </c>
    </row>
    <row r="10" spans="1:22" x14ac:dyDescent="0.4">
      <c r="A10" s="11" t="s">
        <v>76</v>
      </c>
      <c r="B10" s="2">
        <f t="shared" si="4"/>
        <v>57</v>
      </c>
      <c r="C10" s="2">
        <f t="shared" si="5"/>
        <v>24</v>
      </c>
      <c r="D10" s="14">
        <f>IF(SUM(ShadowAbilities2[[#This Row],[takes]]) &gt; 0,ShadowAbilities2[[#This Row],[takes]]/SUM(ShadowAbilities2[takes]),0)</f>
        <v>0.55882352941176472</v>
      </c>
      <c r="E10" s="14">
        <f>IF(ShadowAbilities2[[#This Row],[takes]]&gt;0,ShadowAbilities2[[#This Row],[wins]]/ShadowAbilities2[[#This Row],[takes]],0)</f>
        <v>0.42105263157894735</v>
      </c>
      <c r="F10" s="20"/>
      <c r="G10" s="20"/>
      <c r="H10" s="20"/>
      <c r="I10" s="22"/>
      <c r="K10" s="11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15</v>
      </c>
      <c r="M10" s="2">
        <f>COUNTIF(Scenario0[winner1-ability2],ShadowAbilities2Scenario0[[#This Row],[ability]])+COUNTIF(Scenario0[winner2-ability2],ShadowAbilities2Scenario0[[#This Row],[ability]])</f>
        <v>9</v>
      </c>
      <c r="N10" s="14">
        <f>IF(SUM(ShadowAbilities2Scenario0[[#This Row],[takes]]) &gt; 0,ShadowAbilities2Scenario0[[#This Row],[takes]]/SUM(ShadowAbilities2Scenario0[takes]),0)</f>
        <v>0.7142857142857143</v>
      </c>
      <c r="O10" s="14">
        <f>IF(ShadowAbilities2Scenario0[[#This Row],[takes]]&gt;0,ShadowAbilities2Scenario0[[#This Row],[wins]]/ShadowAbilities2Scenario0[[#This Row],[takes]],0)</f>
        <v>0.6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102</v>
      </c>
      <c r="B13" s="1">
        <f>L13+L34+L55+L76+L97+L118</f>
        <v>8</v>
      </c>
      <c r="C13" s="1">
        <f>M13+M34+M55+M76+M97+M118</f>
        <v>0</v>
      </c>
      <c r="D13" s="15">
        <f>IF(SUM(ShadowAbilities3[[#This Row],[takes]]) &gt; 0,ShadowAbilities3[[#This Row],[takes]]/SUM(ShadowAbilities3[takes]),0)</f>
        <v>0.11764705882352941</v>
      </c>
      <c r="E13" s="15">
        <f>IF(ShadowAbilities3[[#This Row],[takes]]&gt;0,ShadowAbilities3[[#This Row],[wins]]/ShadowAbilities3[[#This Row],[takes]],0)</f>
        <v>0</v>
      </c>
      <c r="F13" s="20"/>
      <c r="G13" s="20"/>
      <c r="H13" s="20"/>
      <c r="I13" s="22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3" s="1">
        <f>COUNTIF(Scenario0[winner1-ability3],ShadowAbilities3Scenario0[[#This Row],[ability]])+COUNTIF(Scenario0[winner2-ability3],ShadowAbilities3Scenario0[[#This Row],[ability]])</f>
        <v>0</v>
      </c>
      <c r="N13" s="15">
        <f>IF(SUM(ShadowAbilities3Scenario0[[#This Row],[takes]]) &gt; 0,ShadowAbilities3Scenario0[[#This Row],[takes]]/SUM(ShadowAbilities3Scenario0[takes]),0)</f>
        <v>0.125</v>
      </c>
      <c r="O13" s="15">
        <f>IF(ShadowAbilities3Scenario0[[#This Row],[takes]]&gt;0,ShadowAbilities3Scenario0[[#This Row],[wins]]/ShadowAbilities3Scenario0[[#This Row],[takes]],0)</f>
        <v>0</v>
      </c>
      <c r="P13" s="20"/>
      <c r="Q13" s="20"/>
      <c r="R13" s="20"/>
      <c r="S13" s="22"/>
      <c r="T13" s="20"/>
    </row>
    <row r="14" spans="1:22" x14ac:dyDescent="0.4">
      <c r="A14" s="2" t="s">
        <v>142</v>
      </c>
      <c r="B14" s="2">
        <f t="shared" ref="B14:B15" si="6">L14+L35+L56+L77+L98+L119</f>
        <v>35</v>
      </c>
      <c r="C14" s="2">
        <f t="shared" ref="C14:C15" si="7">M14+M35+M56+M77+M98+M119</f>
        <v>15</v>
      </c>
      <c r="D14" s="13">
        <f>IF(SUM(ShadowAbilities3[[#This Row],[takes]]) &gt; 0,ShadowAbilities3[[#This Row],[takes]]/SUM(ShadowAbilities3[takes]),0)</f>
        <v>0.51470588235294112</v>
      </c>
      <c r="E14" s="13">
        <f>IF(ShadowAbilities3[[#This Row],[takes]]&gt;0,ShadowAbilities3[[#This Row],[wins]]/ShadowAbilities3[[#This Row],[takes]],0)</f>
        <v>0.42857142857142855</v>
      </c>
      <c r="F14" s="20"/>
      <c r="G14" s="20"/>
      <c r="H14" s="20"/>
      <c r="I14" s="22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4" s="2">
        <f>COUNTIF(Scenario0[winner1-ability3],ShadowAbilities3Scenario0[[#This Row],[ability]])+COUNTIF(Scenario0[winner2-ability3],ShadowAbilities3Scenario0[[#This Row],[ability]])</f>
        <v>2</v>
      </c>
      <c r="N14" s="13">
        <f>IF(SUM(ShadowAbilities3Scenario0[[#This Row],[takes]]) &gt; 0,ShadowAbilities3Scenario0[[#This Row],[takes]]/SUM(ShadowAbilities3Scenario0[takes]),0)</f>
        <v>0.25</v>
      </c>
      <c r="O14" s="13">
        <f>IF(ShadowAbilities3Scenario0[[#This Row],[takes]]&gt;0,ShadowAbilities3Scenario0[[#This Row],[wins]]/ShadowAbilities3Scenario0[[#This Row],[takes]],0)</f>
        <v>1</v>
      </c>
      <c r="P14" s="20"/>
      <c r="Q14" s="20"/>
      <c r="R14" s="20"/>
      <c r="S14" s="22"/>
      <c r="T14" s="20"/>
    </row>
    <row r="15" spans="1:22" x14ac:dyDescent="0.4">
      <c r="A15" s="12" t="s">
        <v>93</v>
      </c>
      <c r="B15" s="1">
        <f t="shared" si="6"/>
        <v>25</v>
      </c>
      <c r="C15" s="1">
        <f t="shared" si="7"/>
        <v>9</v>
      </c>
      <c r="D15" s="16">
        <f>IF(SUM(ShadowAbilities3[[#This Row],[takes]]) &gt; 0,ShadowAbilities3[[#This Row],[takes]]/SUM(ShadowAbilities3[takes]),0)</f>
        <v>0.36764705882352944</v>
      </c>
      <c r="E15" s="16">
        <f>IF(ShadowAbilities3[[#This Row],[takes]]&gt;0,ShadowAbilities3[[#This Row],[wins]]/ShadowAbilities3[[#This Row],[takes]],0)</f>
        <v>0.36</v>
      </c>
      <c r="F15" s="20"/>
      <c r="G15" s="20"/>
      <c r="H15" s="20"/>
      <c r="I15" s="22"/>
      <c r="K15" s="12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5</v>
      </c>
      <c r="M15" s="1">
        <f>COUNTIF(Scenario0[winner1-ability3],ShadowAbilities3Scenario0[[#This Row],[ability]])+COUNTIF(Scenario0[winner2-ability3],ShadowAbilities3Scenario0[[#This Row],[ability]])</f>
        <v>4</v>
      </c>
      <c r="N15" s="16">
        <f>IF(SUM(ShadowAbilities3Scenario0[[#This Row],[takes]]) &gt; 0,ShadowAbilities3Scenario0[[#This Row],[takes]]/SUM(ShadowAbilities3Scenario0[takes]),0)</f>
        <v>0.625</v>
      </c>
      <c r="O15" s="16">
        <f>IF(ShadowAbilities3Scenario0[[#This Row],[takes]]&gt;0,ShadowAbilities3Scenario0[[#This Row],[wins]]/ShadowAbilities3Scenario0[[#This Row],[takes]],0)</f>
        <v>0.8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143</v>
      </c>
      <c r="B18" s="2">
        <f>L18+L39+L60+L81+L102+L123</f>
        <v>37</v>
      </c>
      <c r="C18" s="2">
        <f>M18+M39+M60+M81+M102+M123</f>
        <v>13</v>
      </c>
      <c r="D18" s="13">
        <f>IF(SUM(ShadowAbilities4[[#This Row],[takes]]) &gt; 0,ShadowAbilities4[[#This Row],[takes]]/SUM(ShadowAbilities4[takes]),0)</f>
        <v>0.74</v>
      </c>
      <c r="E18" s="13">
        <f>IF(ShadowAbilities4[[#This Row],[takes]]&gt;0,ShadowAbilities4[[#This Row],[wins]]/ShadowAbilities4[[#This Row],[takes]],0)</f>
        <v>0.35135135135135137</v>
      </c>
      <c r="F18" s="20"/>
      <c r="G18" s="20"/>
      <c r="H18" s="20"/>
      <c r="I18" s="22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8" s="2">
        <f>COUNTIF(Scenario0[winner1-ability4],ShadowAbilities4Scenario0[[#This Row],[ability]])+COUNTIF(Scenario0[winner2-ability4],ShadowAbilities4Scenario0[[#This Row],[ability]])</f>
        <v>1</v>
      </c>
      <c r="N18" s="13">
        <f>IF(SUM(ShadowAbilities4Scenario0[[#This Row],[takes]]) &gt; 0,ShadowAbilities4Scenario0[[#This Row],[takes]]/SUM(ShadowAbilities4Scenario0[takes]),0)</f>
        <v>0.33333333333333331</v>
      </c>
      <c r="O18" s="13">
        <f>IF(ShadowAbilities4Scenario0[[#This Row],[takes]]&gt;0,ShadowAbilities4Scenario0[[#This Row],[wins]]/ShadowAbilities4Scenario0[[#This Row],[takes]],0)</f>
        <v>1</v>
      </c>
      <c r="P18" s="20"/>
      <c r="Q18" s="20"/>
      <c r="R18" s="20"/>
      <c r="S18" s="22"/>
      <c r="T18" s="20"/>
    </row>
    <row r="19" spans="1:20" x14ac:dyDescent="0.4">
      <c r="A19" s="2" t="s">
        <v>144</v>
      </c>
      <c r="B19" s="2">
        <f t="shared" ref="B19:B20" si="8">L19+L40+L61+L82+L103+L124</f>
        <v>11</v>
      </c>
      <c r="C19" s="2">
        <f t="shared" ref="C19:C20" si="9">M19+M40+M61+M82+M103+M124</f>
        <v>4</v>
      </c>
      <c r="D19" s="13">
        <f>IF(SUM(ShadowAbilities4[[#This Row],[takes]]) &gt; 0,ShadowAbilities4[[#This Row],[takes]]/SUM(ShadowAbilities4[takes]),0)</f>
        <v>0.22</v>
      </c>
      <c r="E19" s="13">
        <f>IF(ShadowAbilities4[[#This Row],[takes]]&gt;0,ShadowAbilities4[[#This Row],[wins]]/ShadowAbilities4[[#This Row],[takes]],0)</f>
        <v>0.36363636363636365</v>
      </c>
      <c r="F19" s="20"/>
      <c r="G19" s="20"/>
      <c r="H19" s="20"/>
      <c r="I19" s="22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0</v>
      </c>
      <c r="N19" s="13">
        <f>IF(SUM(ShadowAbilities4Scenario0[[#This Row],[takes]]) &gt; 0,ShadowAbilities4Scenario0[[#This Row],[takes]]/SUM(ShadowAbilities4Scenario0[takes]),0)</f>
        <v>0.33333333333333331</v>
      </c>
      <c r="O19" s="13">
        <f>IF(ShadowAbilities4Scenario0[[#This Row],[takes]]&gt;0,ShadowAbilities4Scenario0[[#This Row],[wins]]/ShadowAbilities4Scenario0[[#This Row],[takes]],0)</f>
        <v>0</v>
      </c>
      <c r="P19" s="20"/>
      <c r="Q19" s="20"/>
      <c r="R19" s="20"/>
      <c r="S19" s="22"/>
      <c r="T19" s="20"/>
    </row>
    <row r="20" spans="1:20" ht="15" thickBot="1" x14ac:dyDescent="0.45">
      <c r="A20" s="11" t="s">
        <v>94</v>
      </c>
      <c r="B20" s="2">
        <f t="shared" si="8"/>
        <v>2</v>
      </c>
      <c r="C20" s="2">
        <f t="shared" si="9"/>
        <v>1</v>
      </c>
      <c r="D20" s="30">
        <f>IF(SUM(ShadowAbilities4[[#This Row],[takes]]) &gt; 0,ShadowAbilities4[[#This Row],[takes]]/SUM(ShadowAbilities4[takes]),0)</f>
        <v>0.04</v>
      </c>
      <c r="E20" s="30">
        <f>IF(ShadowAbilities4[[#This Row],[takes]]&gt;0,ShadowAbilities4[[#This Row],[wins]]/ShadowAbilities4[[#This Row],[takes]],0)</f>
        <v>0.5</v>
      </c>
      <c r="F20" s="31"/>
      <c r="G20" s="31"/>
      <c r="H20" s="31"/>
      <c r="I20" s="32"/>
      <c r="K20" s="11" t="s">
        <v>94</v>
      </c>
      <c r="L20" s="29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20" s="29">
        <f>COUNTIF(Scenario0[winner1-ability4],ShadowAbilities4Scenario0[[#This Row],[ability]])+COUNTIF(Scenario0[winner2-ability4],ShadowAbilities4Scenario0[[#This Row],[ability]])</f>
        <v>1</v>
      </c>
      <c r="N20" s="30">
        <f>IF(SUM(ShadowAbilities4Scenario0[[#This Row],[takes]]) &gt; 0,ShadowAbilities4Scenario0[[#This Row],[takes]]/SUM(ShadowAbilities4Scenario0[takes]),0)</f>
        <v>0.33333333333333331</v>
      </c>
      <c r="O20" s="30">
        <f>IF(ShadowAbilities4Scenario0[[#This Row],[takes]]&gt;0,ShadowAbilities4Scenario0[[#This Row],[wins]]/ShadowAbilities4Scenario0[[#This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1" t="s">
        <v>393</v>
      </c>
      <c r="L22" s="42"/>
      <c r="M22" s="42"/>
      <c r="N22" s="42"/>
      <c r="O22" s="42"/>
      <c r="P22" s="42"/>
      <c r="Q22" s="42"/>
      <c r="R22" s="42"/>
      <c r="S22" s="43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169</v>
      </c>
      <c r="S23" s="22" t="s">
        <v>164</v>
      </c>
      <c r="T23" s="20"/>
    </row>
    <row r="24" spans="1:20" x14ac:dyDescent="0.4">
      <c r="K24" t="s">
        <v>47</v>
      </c>
      <c r="L24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72</v>
      </c>
      <c r="M24" s="20">
        <f>COUNTIF(Scenario1[winner1-ability1],ShadowAbilities1Scenario1[[#This Row],[ability]])+COUNTIF(Scenario1[winner2-ability1],ShadowAbilities1Scenario1[[#This Row],[ability]])</f>
        <v>38</v>
      </c>
      <c r="N24" s="21">
        <f>IF(SUM(ShadowAbilities1Scenario1[[#This Row],[takes]]) &gt; 0,ShadowAbilities1Scenario1[[#This Row],[takes]]/SUM(ShadowAbilities1Scenario1[takes]),0)</f>
        <v>0.68571428571428572</v>
      </c>
      <c r="O24" s="21">
        <f>IF(ShadowAbilities1Scenario1[[#This Row],[takes]]&gt;0,ShadowAbilities1Scenario1[[#This Row],[wins]]/ShadowAbilities1Scenario1[[#This Row],[takes]],0)</f>
        <v>0.52777777777777779</v>
      </c>
      <c r="P24" s="20"/>
      <c r="Q24" s="20">
        <v>1</v>
      </c>
      <c r="R24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96</v>
      </c>
      <c r="T24" s="20"/>
    </row>
    <row r="25" spans="1:20" x14ac:dyDescent="0.4">
      <c r="K25" t="s">
        <v>86</v>
      </c>
      <c r="L25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23</v>
      </c>
      <c r="M25" s="20">
        <f>COUNTIF(Scenario1[winner1-ability1],ShadowAbilities1Scenario1[[#This Row],[ability]])+COUNTIF(Scenario1[winner2-ability1],ShadowAbilities1Scenario1[[#This Row],[ability]])</f>
        <v>15</v>
      </c>
      <c r="N25" s="21">
        <f>IF(SUM(ShadowAbilities1Scenario1[[#This Row],[takes]]) &gt; 0,ShadowAbilities1Scenario1[[#This Row],[takes]]/SUM(ShadowAbilities1Scenario1[takes]),0)</f>
        <v>0.21904761904761905</v>
      </c>
      <c r="O25" s="21">
        <f>IF(ShadowAbilities1Scenario1[[#This Row],[takes]]&gt;0,ShadowAbilities1Scenario1[[#This Row],[wins]]/ShadowAbilities1Scenario1[[#This Row],[takes]],0)</f>
        <v>0.65217391304347827</v>
      </c>
      <c r="P25" s="20"/>
      <c r="Q25" s="20">
        <v>2</v>
      </c>
      <c r="R25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63</v>
      </c>
      <c r="S25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</v>
      </c>
      <c r="T25" s="20"/>
    </row>
    <row r="26" spans="1:20" x14ac:dyDescent="0.4">
      <c r="K26" t="s">
        <v>140</v>
      </c>
      <c r="L26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10</v>
      </c>
      <c r="M26" s="20">
        <f>COUNTIF(Scenario1[winner1-ability1],ShadowAbilities1Scenario1[[#This Row],[ability]])+COUNTIF(Scenario1[winner2-ability1],ShadowAbilities1Scenario1[[#This Row],[ability]])</f>
        <v>6</v>
      </c>
      <c r="N26" s="21">
        <f>IF(SUM(ShadowAbilities1Scenario1[[#This Row],[takes]]) &gt; 0,ShadowAbilities1Scenario1[[#This Row],[takes]]/SUM(ShadowAbilities1Scenario1[takes]),0)</f>
        <v>9.5238095238095233E-2</v>
      </c>
      <c r="O26" s="21">
        <f>IF(ShadowAbilities1Scenario1[[#This Row],[takes]]&gt;0,ShadowAbilities1Scenario1[[#This Row],[wins]]/ShadowAbilities1Scenario1[[#This Row],[takes]],0)</f>
        <v>0.6</v>
      </c>
      <c r="P26" s="20"/>
      <c r="Q26" s="20">
        <v>3</v>
      </c>
      <c r="R26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40</v>
      </c>
      <c r="S26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29" s="2">
        <f>COUNTIF(Scenario1[winner1-ability2],ShadowAbilities2Scenario1[[#This Row],[ability]])+COUNTIF(Scenario1[winner2-ability2],ShadowAbilities2Scenario1[[#This Row],[ability]])</f>
        <v>6</v>
      </c>
      <c r="N29" s="13">
        <f>IF(SUM(ShadowAbilities2Scenario1[[#This Row],[takes]]) &gt; 0,ShadowAbilities2Scenario1[[#This Row],[takes]]/SUM(ShadowAbilities2Scenario1[takes]),0)</f>
        <v>0.375</v>
      </c>
      <c r="O29" s="13">
        <f>IF(ShadowAbilities2Scenario1[[#This Row],[takes]]&gt;0,ShadowAbilities2Scenario1[[#This Row],[wins]]/ShadowAbilities2Scenario1[[#This Row],[takes]],0)</f>
        <v>1</v>
      </c>
      <c r="P29" s="20"/>
      <c r="Q29" s="20"/>
      <c r="R29" s="20"/>
      <c r="S29" s="22"/>
      <c r="T29" s="20"/>
    </row>
    <row r="30" spans="1:20" x14ac:dyDescent="0.4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30" s="2">
        <f>COUNTIF(Scenario1[winner1-ability2],ShadowAbilities2Scenario1[[#This Row],[ability]])+COUNTIF(Scenario1[winner2-ability2],ShadowAbilities2Scenario1[[#This Row],[ability]])</f>
        <v>1</v>
      </c>
      <c r="N30" s="21">
        <f>IF(SUM(ShadowAbilities2Scenario1[[#This Row],[takes]]) &gt; 0,ShadowAbilities2Scenario1[[#This Row],[takes]]/SUM(ShadowAbilities2Scenario1[takes]),0)</f>
        <v>0.125</v>
      </c>
      <c r="O30" s="21">
        <f>IF(ShadowAbilities2Scenario1[[#This Row],[takes]]&gt;0,ShadowAbilities2Scenario1[[#This Row],[wins]]/ShadowAbilities2Scenario1[[#This Row],[takes]],0)</f>
        <v>0.5</v>
      </c>
      <c r="P30" s="20"/>
      <c r="Q30" s="20"/>
      <c r="R30" s="20"/>
      <c r="S30" s="22"/>
      <c r="T30" s="20"/>
    </row>
    <row r="31" spans="1:20" x14ac:dyDescent="0.4">
      <c r="K31" s="11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8</v>
      </c>
      <c r="M31" s="2">
        <f>COUNTIF(Scenario1[winner1-ability2],ShadowAbilities2Scenario1[[#This Row],[ability]])+COUNTIF(Scenario1[winner2-ability2],ShadowAbilities2Scenario1[[#This Row],[ability]])</f>
        <v>4</v>
      </c>
      <c r="N31" s="14">
        <f>IF(SUM(ShadowAbilities2Scenario1[[#This Row],[takes]]) &gt; 0,ShadowAbilities2Scenario1[[#This Row],[takes]]/SUM(ShadowAbilities2Scenario1[takes]),0)</f>
        <v>0.5</v>
      </c>
      <c r="O31" s="14">
        <f>IF(ShadowAbilities2Scenario1[[#This Row],[takes]]&gt;0,ShadowAbilities2Scenario1[[#This Row],[wins]]/ShadowAbilities2Scenario1[[#This Row],[takes]],0)</f>
        <v>0.5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5">
        <f>IF(SUM(ShadowAbilities3Scenario1[[#This Row],[takes]]) &gt; 0,ShadowAbilities3Scenario1[[#This Row],[takes]]/SUM(ShadowAbilities3Scenario1[takes]),0)</f>
        <v>0</v>
      </c>
      <c r="O34" s="15">
        <f>IF(ShadowAbilities3Scenario1[[#This Row],[takes]]&gt;0,ShadowAbilities3Scenario1[[#This Row],[wins]]/ShadowAbilities3Scenario1[[#This Row],[takes]],0)</f>
        <v>0</v>
      </c>
      <c r="P34" s="20"/>
      <c r="Q34" s="20"/>
      <c r="R34" s="20"/>
      <c r="S34" s="22"/>
      <c r="T34" s="20"/>
    </row>
    <row r="35" spans="11:20" x14ac:dyDescent="0.4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0</v>
      </c>
      <c r="N35" s="13">
        <f>IF(SUM(ShadowAbilities3Scenario1[[#This Row],[takes]]) &gt; 0,ShadowAbilities3Scenario1[[#This Row],[takes]]/SUM(ShadowAbilities3Scenario1[takes]),0)</f>
        <v>0.5</v>
      </c>
      <c r="O35" s="13">
        <f>IF(ShadowAbilities3Scenario1[[#This Row],[takes]]&gt;0,ShadowAbilities3Scenario1[[#This Row],[wins]]/ShadowAbilities3Scenario1[[#This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6" s="1">
        <f>COUNTIF(Scenario1[winner1-ability3],ShadowAbilities3Scenario1[[#This Row],[ability]])+COUNTIF(Scenario1[winner2-ability3],ShadowAbilities3Scenario1[[#This Row],[ability]])</f>
        <v>0</v>
      </c>
      <c r="N36" s="16">
        <f>IF(SUM(ShadowAbilities3Scenario1[[#This Row],[takes]]) &gt; 0,ShadowAbilities3Scenario1[[#This Row],[takes]]/SUM(ShadowAbilities3Scenario1[takes]),0)</f>
        <v>0.5</v>
      </c>
      <c r="O36" s="16">
        <f>IF(ShadowAbilities3Scenario1[[#This Row],[takes]]&gt;0,ShadowAbilities3Scenario1[[#This Row],[wins]]/ShadowAbilities3Scenario1[[#This Row],[takes]],0)</f>
        <v>0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3">
        <f>IF(SUM(ShadowAbilities4Scenario1[[#This Row],[takes]]) &gt; 0,ShadowAbilities4Scenario1[[#This Row],[takes]]/SUM(ShadowAbilities4Scenario1[takes]),0)</f>
        <v>0</v>
      </c>
      <c r="O39" s="13">
        <f>IF(ShadowAbilities4Scenario1[[#This Row],[takes]]&gt;0,ShadowAbilities4Scenario1[[#This Row],[wins]]/ShadowAbilities4Scenario1[[#This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3">
        <f>IF(SUM(ShadowAbilities4Scenario1[[#This Row],[takes]]) &gt; 0,ShadowAbilities4Scenario1[[#This Row],[takes]]/SUM(ShadowAbilities4Scenario1[takes]),0)</f>
        <v>0</v>
      </c>
      <c r="O40" s="13">
        <f>IF(ShadowAbilities4Scenario1[[#This Row],[takes]]&gt;0,ShadowAbilities4Scenario1[[#This Row],[wins]]/ShadowAbilities4Scenario1[[#This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94</v>
      </c>
      <c r="L41" s="29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9">
        <f>COUNTIF(Scenario1[winner1-ability4],ShadowAbilities4Scenario1[[#This Row],[ability]])+COUNTIF(Scenario1[winner2-ability4],ShadowAbilities4Scenario1[[#This Row],[ability]])</f>
        <v>0</v>
      </c>
      <c r="N41" s="30">
        <f>IF(SUM(ShadowAbilities4Scenario1[[#This Row],[takes]]) &gt; 0,ShadowAbilities4Scenario1[[#This Row],[takes]]/SUM(ShadowAbilities4Scenario1[takes]),0)</f>
        <v>0</v>
      </c>
      <c r="O41" s="30">
        <f>IF(ShadowAbilities4Scenario1[[#This Row],[takes]]&gt;0,ShadowAbilities4Scenario1[[#This Row],[wins]]/ShadowAbilities4Scenario1[[#This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1" t="s">
        <v>394</v>
      </c>
      <c r="L43" s="42"/>
      <c r="M43" s="42"/>
      <c r="N43" s="42"/>
      <c r="O43" s="42"/>
      <c r="P43" s="42"/>
      <c r="Q43" s="42"/>
      <c r="R43" s="42"/>
      <c r="S43" s="43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169</v>
      </c>
      <c r="S44" s="22" t="s">
        <v>164</v>
      </c>
    </row>
    <row r="45" spans="11:20" x14ac:dyDescent="0.4">
      <c r="K45" t="s">
        <v>47</v>
      </c>
      <c r="L45" s="20">
        <f>COUNTIF(Scenario2[winner1-ability1],ShadowAbilities1Scenario2[[#This Row],[ability]])+COUNTIF(Scenario2[loser1-ability1],ShadowAbilities1Scenario2[[#This Row],[ability]])</f>
        <v>1</v>
      </c>
      <c r="M45" s="20">
        <f>COUNTIF(Scenario2[winner1-ability1],ShadowAbilities1Scenario2[[#This Row],[ability]])</f>
        <v>0</v>
      </c>
      <c r="N45" s="21">
        <f>IF(SUM(ShadowAbilities1Scenario2[[#This Row],[takes]]) &gt; 0,ShadowAbilities1Scenario2[[#This Row],[takes]]/SUM(ShadowAbilities1Scenario2[takes]),0)</f>
        <v>7.1428571428571425E-2</v>
      </c>
      <c r="O45" s="21">
        <f>IF(ShadowAbilities1Scenario2[[#This Row],[takes]]&gt;0,ShadowAbilities1Scenario2[[#This Row],[wins]]/ShadowAbilities1Scenario2[[#This Row],[takes]],0)</f>
        <v>0</v>
      </c>
      <c r="P45" s="20"/>
      <c r="Q45" s="20">
        <v>1</v>
      </c>
      <c r="R45" s="20">
        <f>COUNTIFS(Scenario2[winner1],"shadow",Scenario2[winner1-pw],ShadowEquipScenario2[[#This Row],[level]])+COUNTIFS(Scenario2[loser1],"shadow",Scenario2[loser1-pw],ShadowEquipScenario2[[#This Row],[level]])</f>
        <v>0</v>
      </c>
      <c r="S45" s="22">
        <f>COUNTIFS(Scenario2[winner1],"shadow",Scenario2[winner1-cp],ShadowEquipScenario2[[#This Row],[level]])+COUNTIFS(Scenario2[loser1],"shadow",Scenario2[loser1-cp],ShadowEquipScenario2[[#This Row],[level]])</f>
        <v>9</v>
      </c>
    </row>
    <row r="46" spans="11:20" x14ac:dyDescent="0.4">
      <c r="K46" t="s">
        <v>86</v>
      </c>
      <c r="L46" s="20">
        <f>COUNTIF(Scenario2[winner1-ability1],ShadowAbilities1Scenario2[[#This Row],[ability]])+COUNTIF(Scenario2[loser1-ability1],ShadowAbilities1Scenario2[[#This Row],[ability]])</f>
        <v>5</v>
      </c>
      <c r="M46" s="20">
        <f>COUNTIF(Scenario2[winner1-ability1],ShadowAbilities1Scenario2[[#This Row],[ability]])</f>
        <v>1</v>
      </c>
      <c r="N46" s="21">
        <f>IF(SUM(ShadowAbilities1Scenario2[[#This Row],[takes]]) &gt; 0,ShadowAbilities1Scenario2[[#This Row],[takes]]/SUM(ShadowAbilities1Scenario2[takes]),0)</f>
        <v>0.35714285714285715</v>
      </c>
      <c r="O46" s="21">
        <f>IF(ShadowAbilities1Scenario2[[#This Row],[takes]]&gt;0,ShadowAbilities1Scenario2[[#This Row],[wins]]/ShadowAbilities1Scenario2[[#This Row],[takes]],0)</f>
        <v>0.2</v>
      </c>
      <c r="P46" s="20"/>
      <c r="Q46" s="20">
        <v>2</v>
      </c>
      <c r="R46" s="20">
        <f>COUNTIFS(Scenario2[winner1],"shadow",Scenario2[winner1-pw],ShadowEquipScenario2[[#This Row],[level]])+COUNTIFS(Scenario2[loser1],"shadow",Scenario2[loser1-pw],ShadowEquipScenario2[[#This Row],[level]])</f>
        <v>2</v>
      </c>
      <c r="S46" s="22">
        <f>COUNTIFS(Scenario2[winner1],"shadow",Scenario2[winner1-cp],ShadowEquipScenario2[[#This Row],[level]])+COUNTIFS(Scenario2[loser1],"shadow",Scenario2[loser1-cp],ShadowEquipScenario2[[#This Row],[level]])</f>
        <v>4</v>
      </c>
    </row>
    <row r="47" spans="11:20" x14ac:dyDescent="0.4">
      <c r="K47" t="s">
        <v>140</v>
      </c>
      <c r="L47" s="20">
        <f>COUNTIF(Scenario2[winner1-ability1],ShadowAbilities1Scenario2[[#This Row],[ability]])+COUNTIF(Scenario2[loser1-ability1],ShadowAbilities1Scenario2[[#This Row],[ability]])</f>
        <v>8</v>
      </c>
      <c r="M47" s="20">
        <f>COUNTIF(Scenario2[winner1-ability1],ShadowAbilities1Scenario2[[#This Row],[ability]])</f>
        <v>6</v>
      </c>
      <c r="N47" s="21">
        <f>IF(SUM(ShadowAbilities1Scenario2[[#This Row],[takes]]) &gt; 0,ShadowAbilities1Scenario2[[#This Row],[takes]]/SUM(ShadowAbilities1Scenario2[takes]),0)</f>
        <v>0.5714285714285714</v>
      </c>
      <c r="O47" s="21">
        <f>IF(ShadowAbilities1Scenario2[[#This Row],[takes]]&gt;0,ShadowAbilities1Scenario2[[#This Row],[wins]]/ShadowAbilities1Scenario2[[#This Row],[takes]],0)</f>
        <v>0.75</v>
      </c>
      <c r="P47" s="20"/>
      <c r="Q47" s="20">
        <v>3</v>
      </c>
      <c r="R47" s="20">
        <f>COUNTIFS(Scenario2[winner1],"shadow",Scenario2[winner1-pw],ShadowEquipScenario2[[#This Row],[level]])+COUNTIFS(Scenario2[loser1],"shadow",Scenario2[loser1-pw],ShadowEquipScenario2[[#This Row],[level]])</f>
        <v>12</v>
      </c>
      <c r="S47" s="22">
        <f>COUNTIFS(Scenario2[winner1],"shadow",Scenario2[winner1-cp],ShadowEquipScenario2[[#This Row],[level]])+COUNTIFS(Scenario2[loser1],"shadow",Scenario2[loser1-cp],ShadowEquipScenario2[[#This Row],[level]])</f>
        <v>1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3</v>
      </c>
      <c r="M50" s="2">
        <f>COUNTIF(Scenario2[winner1-ability2],ShadowAbilities2Scenario2[[#This Row],[ability]])</f>
        <v>1</v>
      </c>
      <c r="N50" s="13">
        <f>IF(SUM(ShadowAbilities2Scenario2[[#This Row],[takes]]) &gt; 0,ShadowAbilities2Scenario2[[#This Row],[takes]]/SUM(ShadowAbilities2Scenario2[takes]),0)</f>
        <v>0.25</v>
      </c>
      <c r="O50" s="13">
        <f>IF(ShadowAbilities2Scenario2[[#This Row],[takes]]&gt;0,ShadowAbilities2Scenario2[[#This Row],[wins]]/ShadowAbilities2Scenario2[[#This Row],[takes]],0)</f>
        <v>0.33333333333333331</v>
      </c>
      <c r="P50" s="20"/>
      <c r="Q50" s="20"/>
      <c r="R50" s="20"/>
      <c r="S50" s="22"/>
      <c r="T50" s="20"/>
    </row>
    <row r="51" spans="11:20" x14ac:dyDescent="0.4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21">
        <f>IF(SUM(ShadowAbilities2Scenario2[[#This Row],[takes]]) &gt; 0,ShadowAbilities2Scenario2[[#This Row],[takes]]/SUM(ShadowAbilities2Scenario2[takes]),0)</f>
        <v>8.3333333333333329E-2</v>
      </c>
      <c r="O51" s="21">
        <f>IF(ShadowAbilities2Scenario2[[#This Row],[takes]]&gt;0,ShadowAbilities2Scenario2[[#This Row],[wins]]/ShadowAbilities2Scenario2[[#This Row],[takes]],0)</f>
        <v>1</v>
      </c>
      <c r="P51" s="20"/>
      <c r="Q51" s="20"/>
      <c r="R51" s="20"/>
      <c r="S51" s="22"/>
      <c r="T51" s="20"/>
    </row>
    <row r="52" spans="11:20" x14ac:dyDescent="0.4">
      <c r="K52" s="11" t="s">
        <v>76</v>
      </c>
      <c r="L52" s="2">
        <f>COUNTIF(Scenario2[winner1-ability2],ShadowAbilities2Scenario2[[#This Row],[ability]])+COUNTIF(Scenario2[loser1-ability2],ShadowAbilities2Scenario2[[#This Row],[ability]])</f>
        <v>8</v>
      </c>
      <c r="M52" s="2">
        <f>COUNTIF(Scenario2[winner1-ability2],ShadowAbilities2Scenario2[[#This Row],[ability]])</f>
        <v>3</v>
      </c>
      <c r="N52" s="14">
        <f>IF(SUM(ShadowAbilities2Scenario2[[#This Row],[takes]]) &gt; 0,ShadowAbilities2Scenario2[[#This Row],[takes]]/SUM(ShadowAbilities2Scenario2[takes]),0)</f>
        <v>0.66666666666666663</v>
      </c>
      <c r="O52" s="14">
        <f>IF(ShadowAbilities2Scenario2[[#This Row],[takes]]&gt;0,ShadowAbilities2Scenario2[[#This Row],[wins]]/ShadowAbilities2Scenario2[[#This Row],[takes]],0)</f>
        <v>0.375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2</v>
      </c>
      <c r="M55" s="1">
        <f>COUNTIF(Scenario2[winner1-ability3],ShadowAbilities3Scenario2[[#This Row],[ability]])</f>
        <v>0</v>
      </c>
      <c r="N55" s="15">
        <f>IF(SUM(ShadowAbilities3Scenario2[[#This Row],[takes]]) &gt; 0,ShadowAbilities3Scenario2[[#This Row],[takes]]/SUM(ShadowAbilities3Scenario2[takes]),0)</f>
        <v>0.22222222222222221</v>
      </c>
      <c r="O55" s="15">
        <f>IF(ShadowAbilities3Scenario2[[#This Row],[takes]]&gt;0,ShadowAbilities3Scenario2[[#This Row],[wins]]/ShadowAbilities3Scenario2[[#This Row],[takes]],0)</f>
        <v>0</v>
      </c>
      <c r="P55" s="20"/>
      <c r="Q55" s="20"/>
      <c r="R55" s="20"/>
      <c r="S55" s="22"/>
      <c r="T55" s="20"/>
    </row>
    <row r="56" spans="11:20" x14ac:dyDescent="0.4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1</v>
      </c>
      <c r="M56" s="2">
        <f>COUNTIF(Scenario2[winner1-ability3],ShadowAbilities3Scenario2[[#This Row],[ability]])</f>
        <v>1</v>
      </c>
      <c r="N56" s="13">
        <f>IF(SUM(ShadowAbilities3Scenario2[[#This Row],[takes]]) &gt; 0,ShadowAbilities3Scenario2[[#This Row],[takes]]/SUM(ShadowAbilities3Scenario2[takes]),0)</f>
        <v>0.1111111111111111</v>
      </c>
      <c r="O56" s="13">
        <f>IF(ShadowAbilities3Scenario2[[#This Row],[takes]]&gt;0,ShadowAbilities3Scenario2[[#This Row],[wins]]/ShadowAbilities3Scenario2[[#This Row],[takes]],0)</f>
        <v>1</v>
      </c>
      <c r="P56" s="20"/>
      <c r="Q56" s="20"/>
      <c r="R56" s="20"/>
      <c r="S56" s="22"/>
      <c r="T56" s="20"/>
    </row>
    <row r="57" spans="11:20" x14ac:dyDescent="0.4">
      <c r="K57" s="12" t="s">
        <v>93</v>
      </c>
      <c r="L57" s="1">
        <f>COUNTIF(Scenario2[winner1-ability3],ShadowAbilities3Scenario2[[#This Row],[ability]])+COUNTIF(Scenario2[loser1-ability3],ShadowAbilities3Scenario2[[#This Row],[ability]])</f>
        <v>6</v>
      </c>
      <c r="M57" s="1">
        <f>COUNTIF(Scenario2[winner1-ability3],ShadowAbilities3Scenario2[[#This Row],[ability]])</f>
        <v>1</v>
      </c>
      <c r="N57" s="16">
        <f>IF(SUM(ShadowAbilities3Scenario2[[#This Row],[takes]]) &gt; 0,ShadowAbilities3Scenario2[[#This Row],[takes]]/SUM(ShadowAbilities3Scenario2[takes]),0)</f>
        <v>0.66666666666666663</v>
      </c>
      <c r="O57" s="16">
        <f>IF(ShadowAbilities3Scenario2[[#This Row],[takes]]&gt;0,ShadowAbilities3Scenario2[[#This Row],[wins]]/ShadowAbilities3Scenario2[[#This Row],[takes]],0)</f>
        <v>0.16666666666666666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3</v>
      </c>
      <c r="M60" s="2">
        <f>COUNTIF(Scenario2[winner1-ability4],ShadowAbilities4Scenario2[[#This Row],[ability]])</f>
        <v>1</v>
      </c>
      <c r="N60" s="13">
        <f>IF(SUM(ShadowAbilities4Scenario2[[#This Row],[takes]]) &gt; 0,ShadowAbilities4Scenario2[[#This Row],[takes]]/SUM(ShadowAbilities4Scenario2[takes]),0)</f>
        <v>0.75</v>
      </c>
      <c r="O60" s="13">
        <f>IF(ShadowAbilities4Scenario2[[#This Row],[takes]]&gt;0,ShadowAbilities4Scenario2[[#This Row],[wins]]/ShadowAbilities4Scenario2[[#This Row],[takes]],0)</f>
        <v>0.33333333333333331</v>
      </c>
      <c r="P60" s="20"/>
      <c r="Q60" s="20"/>
      <c r="R60" s="20"/>
      <c r="S60" s="22"/>
      <c r="T60" s="20"/>
    </row>
    <row r="61" spans="11:20" x14ac:dyDescent="0.4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1</v>
      </c>
      <c r="M61" s="2">
        <f>COUNTIF(Scenario2[winner1-ability4],ShadowAbilities4Scenario2[[#This Row],[ability]])</f>
        <v>0</v>
      </c>
      <c r="N61" s="13">
        <f>IF(SUM(ShadowAbilities4Scenario2[[#This Row],[takes]]) &gt; 0,ShadowAbilities4Scenario2[[#This Row],[takes]]/SUM(ShadowAbilities4Scenario2[takes]),0)</f>
        <v>0.25</v>
      </c>
      <c r="O61" s="13">
        <f>IF(ShadowAbilities4Scenario2[[#This Row],[takes]]&gt;0,ShadowAbilities4Scenario2[[#This Row],[wins]]/ShadowAbilities4Scenario2[[#This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94</v>
      </c>
      <c r="L62" s="29">
        <f>COUNTIF(Scenario2[winner1-ability4],ShadowAbilities4Scenario2[[#This Row],[ability]])+COUNTIF(Scenario2[loser1-ability4],ShadowAbilities4Scenario2[[#This Row],[ability]])</f>
        <v>0</v>
      </c>
      <c r="M62" s="29">
        <f>COUNTIF(Scenario2[winner1-ability4],ShadowAbilities4Scenario2[[#This Row],[ability]])</f>
        <v>0</v>
      </c>
      <c r="N62" s="30">
        <f>IF(SUM(ShadowAbilities4Scenario2[[#This Row],[takes]]) &gt; 0,ShadowAbilities4Scenario2[[#This Row],[takes]]/SUM(ShadowAbilities4Scenario2[takes]),0)</f>
        <v>0</v>
      </c>
      <c r="O62" s="30">
        <f>IF(ShadowAbilities4Scenario2[[#This Row],[takes]]&gt;0,ShadowAbilities4Scenario2[[#This Row],[wins]]/ShadowAbilities4Scenario2[[#This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1" t="s">
        <v>686</v>
      </c>
      <c r="L64" s="42"/>
      <c r="M64" s="42"/>
      <c r="N64" s="42"/>
      <c r="O64" s="42"/>
      <c r="P64" s="42"/>
      <c r="Q64" s="42"/>
      <c r="R64" s="42"/>
      <c r="S64" s="43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169</v>
      </c>
      <c r="S65" s="22" t="s">
        <v>164</v>
      </c>
    </row>
    <row r="66" spans="11:19" x14ac:dyDescent="0.4">
      <c r="K66" t="s">
        <v>47</v>
      </c>
      <c r="L66" s="20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3</v>
      </c>
      <c r="M66" s="20">
        <f>COUNTIF(Scenario3[winner1-ability1],ShadowAbilities1Scenario3[[#This Row],[ability]])</f>
        <v>2</v>
      </c>
      <c r="N66" s="21">
        <f>IF(SUM(ShadowAbilities1Scenario3[[#This Row],[takes]]) &gt; 0,ShadowAbilities1Scenario3[[#This Row],[takes]]/SUM(ShadowAbilities1Scenario3[takes]),0)</f>
        <v>0.14285714285714285</v>
      </c>
      <c r="O66" s="21">
        <f>IF(ShadowAbilities1Scenario3[[#This Row],[takes]]&gt;0,ShadowAbilities1Scenario3[[#This Row],[wins]]/ShadowAbilities1Scenario3[[#This Row],[takes]],0)</f>
        <v>0.66666666666666663</v>
      </c>
      <c r="P66" s="20"/>
      <c r="Q66" s="20">
        <v>1</v>
      </c>
      <c r="R66" s="20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22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5</v>
      </c>
    </row>
    <row r="67" spans="11:19" x14ac:dyDescent="0.4">
      <c r="K67" t="s">
        <v>86</v>
      </c>
      <c r="L67" s="20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15</v>
      </c>
      <c r="M67" s="20">
        <f>COUNTIF(Scenario3[winner1-ability1],ShadowAbilities1Scenario3[[#This Row],[ability]])</f>
        <v>4</v>
      </c>
      <c r="N67" s="21">
        <f>IF(SUM(ShadowAbilities1Scenario3[[#This Row],[takes]]) &gt; 0,ShadowAbilities1Scenario3[[#This Row],[takes]]/SUM(ShadowAbilities1Scenario3[takes]),0)</f>
        <v>0.7142857142857143</v>
      </c>
      <c r="O67" s="21">
        <f>IF(ShadowAbilities1Scenario3[[#This Row],[takes]]&gt;0,ShadowAbilities1Scenario3[[#This Row],[wins]]/ShadowAbilities1Scenario3[[#This Row],[takes]],0)</f>
        <v>0.26666666666666666</v>
      </c>
      <c r="P67" s="20"/>
      <c r="Q67" s="20">
        <v>2</v>
      </c>
      <c r="R67" s="20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</v>
      </c>
      <c r="S67" s="22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6</v>
      </c>
    </row>
    <row r="68" spans="11:19" x14ac:dyDescent="0.4">
      <c r="K68" t="s">
        <v>140</v>
      </c>
      <c r="L68" s="20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3</v>
      </c>
      <c r="M68" s="20">
        <f>COUNTIF(Scenario3[winner1-ability1],ShadowAbilities1Scenario3[[#This Row],[ability]])</f>
        <v>2</v>
      </c>
      <c r="N68" s="21">
        <f>IF(SUM(ShadowAbilities1Scenario3[[#This Row],[takes]]) &gt; 0,ShadowAbilities1Scenario3[[#This Row],[takes]]/SUM(ShadowAbilities1Scenario3[takes]),0)</f>
        <v>0.14285714285714285</v>
      </c>
      <c r="O68" s="21">
        <f>IF(ShadowAbilities1Scenario3[[#This Row],[takes]]&gt;0,ShadowAbilities1Scenario3[[#This Row],[wins]]/ShadowAbilities1Scenario3[[#This Row],[takes]],0)</f>
        <v>0.66666666666666663</v>
      </c>
      <c r="P68" s="20"/>
      <c r="Q68" s="20">
        <v>3</v>
      </c>
      <c r="R68" s="20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20</v>
      </c>
      <c r="S68" s="22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10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6</v>
      </c>
      <c r="M71" s="2">
        <f>COUNTIF(Scenario3[winner1-ability2],ShadowAbilities2Scenario3[[#This Row],[ability]])</f>
        <v>3</v>
      </c>
      <c r="N71" s="13">
        <f>IF(SUM(ShadowAbilities2Scenario3[[#This Row],[takes]]) &gt; 0,ShadowAbilities2Scenario3[[#This Row],[takes]]/SUM(ShadowAbilities2Scenario3[takes]),0)</f>
        <v>0.33333333333333331</v>
      </c>
      <c r="O71" s="13">
        <f>IF(ShadowAbilities2Scenario3[[#This Row],[takes]]&gt;0,ShadowAbilities2Scenario3[[#This Row],[wins]]/ShadowAbilities2Scenario3[[#This Row],[takes]],0)</f>
        <v>0.5</v>
      </c>
      <c r="P71" s="20"/>
      <c r="Q71" s="20"/>
      <c r="R71" s="20"/>
      <c r="S71" s="22"/>
    </row>
    <row r="72" spans="11:19" x14ac:dyDescent="0.4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</v>
      </c>
      <c r="M72" s="2">
        <f>COUNTIF(Scenario3[winner1-ability2],ShadowAbilities2Scenario3[[#This Row],[ability]])</f>
        <v>1</v>
      </c>
      <c r="N72" s="21">
        <f>IF(SUM(ShadowAbilities2Scenario3[[#This Row],[takes]]) &gt; 0,ShadowAbilities2Scenario3[[#This Row],[takes]]/SUM(ShadowAbilities2Scenario3[takes]),0)</f>
        <v>5.5555555555555552E-2</v>
      </c>
      <c r="O72" s="21">
        <f>IF(ShadowAbilities2Scenario3[[#This Row],[takes]]&gt;0,ShadowAbilities2Scenario3[[#This Row],[wins]]/ShadowAbilities2Scenario3[[#This Row],[takes]],0)</f>
        <v>1</v>
      </c>
      <c r="P72" s="20"/>
      <c r="Q72" s="20"/>
      <c r="R72" s="20"/>
      <c r="S72" s="22"/>
    </row>
    <row r="73" spans="11:19" x14ac:dyDescent="0.4">
      <c r="K73" s="11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11</v>
      </c>
      <c r="M73" s="2">
        <f>COUNTIF(Scenario3[winner1-ability2],ShadowAbilities2Scenario3[[#This Row],[ability]])</f>
        <v>4</v>
      </c>
      <c r="N73" s="14">
        <f>IF(SUM(ShadowAbilities2Scenario3[[#This Row],[takes]]) &gt; 0,ShadowAbilities2Scenario3[[#This Row],[takes]]/SUM(ShadowAbilities2Scenario3[takes]),0)</f>
        <v>0.61111111111111116</v>
      </c>
      <c r="O73" s="14">
        <f>IF(ShadowAbilities2Scenario3[[#This Row],[takes]]&gt;0,ShadowAbilities2Scenario3[[#This Row],[wins]]/ShadowAbilities2Scenario3[[#This Row],[takes]],0)</f>
        <v>0.36363636363636365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6" s="1">
        <f>COUNTIF(Scenario3[winner1-ability3],ShadowAbilities3Scenario3[[#This Row],[ability]])</f>
        <v>0</v>
      </c>
      <c r="N76" s="15">
        <f>IF(SUM(ShadowAbilities3Scenario3[[#This Row],[takes]]) &gt; 0,ShadowAbilities3Scenario3[[#This Row],[takes]]/SUM(ShadowAbilities3Scenario3[takes]),0)</f>
        <v>0</v>
      </c>
      <c r="O76" s="15">
        <f>IF(ShadowAbilities3Scenario3[[#This Row],[takes]]&gt;0,ShadowAbilities3Scenario3[[#This Row],[wins]]/ShadowAbilities3Scenario3[[#This Row],[takes]],0)</f>
        <v>0</v>
      </c>
      <c r="P76" s="20"/>
      <c r="Q76" s="20"/>
      <c r="R76" s="20"/>
      <c r="S76" s="22"/>
    </row>
    <row r="77" spans="11:19" x14ac:dyDescent="0.4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9</v>
      </c>
      <c r="M77" s="2">
        <f>COUNTIF(Scenario3[winner1-ability3],ShadowAbilities3Scenario3[[#This Row],[ability]])</f>
        <v>6</v>
      </c>
      <c r="N77" s="13">
        <f>IF(SUM(ShadowAbilities3Scenario3[[#This Row],[takes]]) &gt; 0,ShadowAbilities3Scenario3[[#This Row],[takes]]/SUM(ShadowAbilities3Scenario3[takes]),0)</f>
        <v>0.5</v>
      </c>
      <c r="O77" s="13">
        <f>IF(ShadowAbilities3Scenario3[[#This Row],[takes]]&gt;0,ShadowAbilities3Scenario3[[#This Row],[wins]]/ShadowAbilities3Scenario3[[#This Row],[takes]],0)</f>
        <v>0.66666666666666663</v>
      </c>
      <c r="P77" s="20"/>
      <c r="Q77" s="20"/>
      <c r="R77" s="20"/>
      <c r="S77" s="22"/>
    </row>
    <row r="78" spans="11:19" x14ac:dyDescent="0.4">
      <c r="K78" s="12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9</v>
      </c>
      <c r="M78" s="1">
        <f>COUNTIF(Scenario3[winner1-ability3],ShadowAbilities3Scenario3[[#This Row],[ability]])</f>
        <v>2</v>
      </c>
      <c r="N78" s="16">
        <f>IF(SUM(ShadowAbilities3Scenario3[[#This Row],[takes]]) &gt; 0,ShadowAbilities3Scenario3[[#This Row],[takes]]/SUM(ShadowAbilities3Scenario3[takes]),0)</f>
        <v>0.5</v>
      </c>
      <c r="O78" s="16">
        <f>IF(ShadowAbilities3Scenario3[[#This Row],[takes]]&gt;0,ShadowAbilities3Scenario3[[#This Row],[wins]]/ShadowAbilities3Scenario3[[#This Row],[takes]],0)</f>
        <v>0.22222222222222221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11</v>
      </c>
      <c r="M81" s="2">
        <f>COUNTIF(Scenario3[winner1-ability4],ShadowAbilities4Scenario3[[#This Row],[ability]])</f>
        <v>4</v>
      </c>
      <c r="N81" s="13">
        <f>IF(SUM(ShadowAbilities4Scenario3[[#This Row],[takes]]) &gt; 0,ShadowAbilities4Scenario3[[#This Row],[takes]]/SUM(ShadowAbilities4Scenario3[takes]),0)</f>
        <v>0.73333333333333328</v>
      </c>
      <c r="O81" s="13">
        <f>IF(ShadowAbilities4Scenario3[[#This Row],[takes]]&gt;0,ShadowAbilities4Scenario3[[#This Row],[wins]]/ShadowAbilities4Scenario3[[#This Row],[takes]],0)</f>
        <v>0.36363636363636365</v>
      </c>
      <c r="P81" s="20"/>
      <c r="Q81" s="20"/>
      <c r="R81" s="20"/>
      <c r="S81" s="22"/>
    </row>
    <row r="82" spans="11:19" x14ac:dyDescent="0.4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2" s="2">
        <f>COUNTIF(Scenario3[winner1-ability4],ShadowAbilities4Scenario3[[#This Row],[ability]])</f>
        <v>3</v>
      </c>
      <c r="N82" s="13">
        <f>IF(SUM(ShadowAbilities4Scenario3[[#This Row],[takes]]) &gt; 0,ShadowAbilities4Scenario3[[#This Row],[takes]]/SUM(ShadowAbilities4Scenario3[takes]),0)</f>
        <v>0.2</v>
      </c>
      <c r="O82" s="13">
        <f>IF(ShadowAbilities4Scenario3[[#This Row],[takes]]&gt;0,ShadowAbilities4Scenario3[[#This Row],[wins]]/ShadowAbilities4Scenario3[[#This Row],[takes]],0)</f>
        <v>1</v>
      </c>
      <c r="P82" s="20"/>
      <c r="Q82" s="20"/>
      <c r="R82" s="20"/>
      <c r="S82" s="22"/>
    </row>
    <row r="83" spans="11:19" ht="15" thickBot="1" x14ac:dyDescent="0.45">
      <c r="K83" s="11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1</v>
      </c>
      <c r="M83" s="2">
        <f>COUNTIF(Scenario3[winner1-ability4],ShadowAbilities4Scenario3[[#This Row],[ability]])</f>
        <v>0</v>
      </c>
      <c r="N83" s="30">
        <f>IF(SUM(ShadowAbilities4Scenario3[[#This Row],[takes]]) &gt; 0,ShadowAbilities4Scenario3[[#This Row],[takes]]/SUM(ShadowAbilities4Scenario3[takes]),0)</f>
        <v>6.6666666666666666E-2</v>
      </c>
      <c r="O83" s="30">
        <f>IF(ShadowAbilities4Scenario3[[#This Row],[takes]]&gt;0,ShadowAbilities4Scenario3[[#This Row],[wins]]/ShadowAbilities4Scenario3[[#This Row],[takes]],0)</f>
        <v>0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1" t="s">
        <v>752</v>
      </c>
      <c r="L85" s="42"/>
      <c r="M85" s="42"/>
      <c r="N85" s="42"/>
      <c r="O85" s="42"/>
      <c r="P85" s="42"/>
      <c r="Q85" s="42"/>
      <c r="R85" s="42"/>
      <c r="S85" s="43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169</v>
      </c>
      <c r="S86" s="22" t="s">
        <v>164</v>
      </c>
    </row>
    <row r="87" spans="11:19" x14ac:dyDescent="0.4">
      <c r="K87" t="s">
        <v>47</v>
      </c>
      <c r="L87" s="20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12</v>
      </c>
      <c r="M87" s="20">
        <f>COUNTIF(Scenario4[winner1-ability1],ShadowAbilities1Scenario4[[#This Row],[ability]])</f>
        <v>2</v>
      </c>
      <c r="N87" s="21">
        <f>IF(SUM(ShadowAbilities1Scenario4[[#This Row],[takes]]) &gt; 0,ShadowAbilities1Scenario4[[#This Row],[takes]]/SUM(ShadowAbilities1Scenario4[takes]),0)</f>
        <v>0.34285714285714286</v>
      </c>
      <c r="O87" s="21">
        <f>IF(ShadowAbilities1Scenario4[[#This Row],[takes]]&gt;0,ShadowAbilities1Scenario4[[#This Row],[wins]]/ShadowAbilities1Scenario4[[#This Row],[takes]],0)</f>
        <v>0.16666666666666666</v>
      </c>
      <c r="P87" s="20"/>
      <c r="Q87" s="20">
        <v>1</v>
      </c>
      <c r="R87" s="20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22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8" spans="11:19" x14ac:dyDescent="0.4">
      <c r="K88" t="s">
        <v>86</v>
      </c>
      <c r="L88" s="20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17</v>
      </c>
      <c r="M88" s="20">
        <f>COUNTIF(Scenario4[winner1-ability1],ShadowAbilities1Scenario4[[#This Row],[ability]])</f>
        <v>5</v>
      </c>
      <c r="N88" s="21">
        <f>IF(SUM(ShadowAbilities1Scenario4[[#This Row],[takes]]) &gt; 0,ShadowAbilities1Scenario4[[#This Row],[takes]]/SUM(ShadowAbilities1Scenario4[takes]),0)</f>
        <v>0.48571428571428571</v>
      </c>
      <c r="O88" s="21">
        <f>IF(ShadowAbilities1Scenario4[[#This Row],[takes]]&gt;0,ShadowAbilities1Scenario4[[#This Row],[wins]]/ShadowAbilities1Scenario4[[#This Row],[takes]],0)</f>
        <v>0.29411764705882354</v>
      </c>
      <c r="P88" s="20"/>
      <c r="Q88" s="20">
        <v>2</v>
      </c>
      <c r="R88" s="20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8" s="22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9" spans="11:19" x14ac:dyDescent="0.4">
      <c r="K89" t="s">
        <v>140</v>
      </c>
      <c r="L89" s="20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6</v>
      </c>
      <c r="M89" s="20">
        <f>COUNTIF(Scenario4[winner1-ability1],ShadowAbilities1Scenario4[[#This Row],[ability]])</f>
        <v>1</v>
      </c>
      <c r="N89" s="21">
        <f>IF(SUM(ShadowAbilities1Scenario4[[#This Row],[takes]]) &gt; 0,ShadowAbilities1Scenario4[[#This Row],[takes]]/SUM(ShadowAbilities1Scenario4[takes]),0)</f>
        <v>0.17142857142857143</v>
      </c>
      <c r="O89" s="21">
        <f>IF(ShadowAbilities1Scenario4[[#This Row],[takes]]&gt;0,ShadowAbilities1Scenario4[[#This Row],[wins]]/ShadowAbilities1Scenario4[[#This Row],[takes]],0)</f>
        <v>0.16666666666666666</v>
      </c>
      <c r="P89" s="20"/>
      <c r="Q89" s="20">
        <v>3</v>
      </c>
      <c r="R89" s="20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34</v>
      </c>
      <c r="S89" s="22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27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16</v>
      </c>
      <c r="M92" s="2">
        <f>COUNTIF(Scenario4[winner1-ability2],ShadowAbilities2Scenario4[[#This Row],[ability]])</f>
        <v>3</v>
      </c>
      <c r="N92" s="13">
        <f>IF(SUM(ShadowAbilities2Scenario4[[#This Row],[takes]]) &gt; 0,ShadowAbilities2Scenario4[[#This Row],[takes]]/SUM(ShadowAbilities2Scenario4[takes]),0)</f>
        <v>0.48484848484848486</v>
      </c>
      <c r="O92" s="13">
        <f>IF(ShadowAbilities2Scenario4[[#This Row],[takes]]&gt;0,ShadowAbilities2Scenario4[[#This Row],[wins]]/ShadowAbilities2Scenario4[[#This Row],[takes]],0)</f>
        <v>0.1875</v>
      </c>
      <c r="P92" s="20"/>
      <c r="Q92" s="20"/>
      <c r="R92" s="20"/>
      <c r="S92" s="22"/>
    </row>
    <row r="93" spans="11:19" x14ac:dyDescent="0.4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4</v>
      </c>
      <c r="M93" s="2">
        <f>COUNTIF(Scenario4[winner1-ability2],ShadowAbilities2Scenario4[[#This Row],[ability]])</f>
        <v>1</v>
      </c>
      <c r="N93" s="21">
        <f>IF(SUM(ShadowAbilities2Scenario4[[#This Row],[takes]]) &gt; 0,ShadowAbilities2Scenario4[[#This Row],[takes]]/SUM(ShadowAbilities2Scenario4[takes]),0)</f>
        <v>0.12121212121212122</v>
      </c>
      <c r="O93" s="21">
        <f>IF(ShadowAbilities2Scenario4[[#This Row],[takes]]&gt;0,ShadowAbilities2Scenario4[[#This Row],[wins]]/ShadowAbilities2Scenario4[[#This Row],[takes]],0)</f>
        <v>0.25</v>
      </c>
      <c r="P93" s="20"/>
      <c r="Q93" s="20"/>
      <c r="R93" s="20"/>
      <c r="S93" s="22"/>
    </row>
    <row r="94" spans="11:19" x14ac:dyDescent="0.4">
      <c r="K94" s="11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13</v>
      </c>
      <c r="M94" s="2">
        <f>COUNTIF(Scenario4[winner1-ability2],ShadowAbilities2Scenario4[[#This Row],[ability]])</f>
        <v>4</v>
      </c>
      <c r="N94" s="14">
        <f>IF(SUM(ShadowAbilities2Scenario4[[#This Row],[takes]]) &gt; 0,ShadowAbilities2Scenario4[[#This Row],[takes]]/SUM(ShadowAbilities2Scenario4[takes]),0)</f>
        <v>0.39393939393939392</v>
      </c>
      <c r="O94" s="14">
        <f>IF(ShadowAbilities2Scenario4[[#This Row],[takes]]&gt;0,ShadowAbilities2Scenario4[[#This Row],[wins]]/ShadowAbilities2Scenario4[[#This Row],[takes]],0)</f>
        <v>0.30769230769230771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3</v>
      </c>
      <c r="M97" s="1">
        <f>COUNTIF(Scenario4[winner1-ability3],ShadowAbilities3Scenario4[[#This Row],[ability]])</f>
        <v>0</v>
      </c>
      <c r="N97" s="15">
        <f>IF(SUM(ShadowAbilities3Scenario4[[#This Row],[takes]]) &gt; 0,ShadowAbilities3Scenario4[[#This Row],[takes]]/SUM(ShadowAbilities3Scenario4[takes]),0)</f>
        <v>0.10344827586206896</v>
      </c>
      <c r="O97" s="15">
        <f>IF(ShadowAbilities3Scenario4[[#This Row],[takes]]&gt;0,ShadowAbilities3Scenario4[[#This Row],[wins]]/ShadowAbilities3Scenario4[[#This Row],[takes]],0)</f>
        <v>0</v>
      </c>
      <c r="P97" s="20"/>
      <c r="Q97" s="20"/>
      <c r="R97" s="20"/>
      <c r="S97" s="22"/>
    </row>
    <row r="98" spans="11:19" x14ac:dyDescent="0.4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22</v>
      </c>
      <c r="M98" s="2">
        <f>COUNTIF(Scenario4[winner1-ability3],ShadowAbilities3Scenario4[[#This Row],[ability]])</f>
        <v>6</v>
      </c>
      <c r="N98" s="13">
        <f>IF(SUM(ShadowAbilities3Scenario4[[#This Row],[takes]]) &gt; 0,ShadowAbilities3Scenario4[[#This Row],[takes]]/SUM(ShadowAbilities3Scenario4[takes]),0)</f>
        <v>0.75862068965517238</v>
      </c>
      <c r="O98" s="13">
        <f>IF(ShadowAbilities3Scenario4[[#This Row],[takes]]&gt;0,ShadowAbilities3Scenario4[[#This Row],[wins]]/ShadowAbilities3Scenario4[[#This Row],[takes]],0)</f>
        <v>0.27272727272727271</v>
      </c>
      <c r="P98" s="20"/>
      <c r="Q98" s="20"/>
      <c r="R98" s="20"/>
      <c r="S98" s="22"/>
    </row>
    <row r="99" spans="11:19" x14ac:dyDescent="0.4">
      <c r="K99" s="12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4</v>
      </c>
      <c r="M99" s="1">
        <f>COUNTIF(Scenario4[winner1-ability3],ShadowAbilities3Scenario4[[#This Row],[ability]])</f>
        <v>2</v>
      </c>
      <c r="N99" s="16">
        <f>IF(SUM(ShadowAbilities3Scenario4[[#This Row],[takes]]) &gt; 0,ShadowAbilities3Scenario4[[#This Row],[takes]]/SUM(ShadowAbilities3Scenario4[takes]),0)</f>
        <v>0.13793103448275862</v>
      </c>
      <c r="O99" s="16">
        <f>IF(ShadowAbilities3Scenario4[[#This Row],[takes]]&gt;0,ShadowAbilities3Scenario4[[#This Row],[wins]]/ShadowAbilities3Scenario4[[#This Row],[takes]],0)</f>
        <v>0.5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22</v>
      </c>
      <c r="M102" s="2">
        <f>COUNTIF(Scenario4[winner1-ability4],ShadowAbilities4Scenario4[[#This Row],[ability]])</f>
        <v>7</v>
      </c>
      <c r="N102" s="13">
        <f>IF(SUM(ShadowAbilities4Scenario4[[#This Row],[takes]]) &gt; 0,ShadowAbilities4Scenario4[[#This Row],[takes]]/SUM(ShadowAbilities4Scenario4[takes]),0)</f>
        <v>0.7857142857142857</v>
      </c>
      <c r="O102" s="13">
        <f>IF(ShadowAbilities4Scenario4[[#This Row],[takes]]&gt;0,ShadowAbilities4Scenario4[[#This Row],[wins]]/ShadowAbilities4Scenario4[[#This Row],[takes]],0)</f>
        <v>0.31818181818181818</v>
      </c>
      <c r="P102" s="20"/>
      <c r="Q102" s="20"/>
      <c r="R102" s="20"/>
      <c r="S102" s="22"/>
    </row>
    <row r="103" spans="11:19" x14ac:dyDescent="0.4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6</v>
      </c>
      <c r="M103" s="2">
        <f>COUNTIF(Scenario4[winner1-ability4],ShadowAbilities4Scenario4[[#This Row],[ability]])</f>
        <v>1</v>
      </c>
      <c r="N103" s="13">
        <f>IF(SUM(ShadowAbilities4Scenario4[[#This Row],[takes]]) &gt; 0,ShadowAbilities4Scenario4[[#This Row],[takes]]/SUM(ShadowAbilities4Scenario4[takes]),0)</f>
        <v>0.21428571428571427</v>
      </c>
      <c r="O103" s="13">
        <f>IF(ShadowAbilities4Scenario4[[#This Row],[takes]]&gt;0,ShadowAbilities4Scenario4[[#This Row],[wins]]/ShadowAbilities4Scenario4[[#This Row],[takes]],0)</f>
        <v>0.16666666666666666</v>
      </c>
      <c r="P103" s="20"/>
      <c r="Q103" s="20"/>
      <c r="R103" s="20"/>
      <c r="S103" s="22"/>
    </row>
    <row r="104" spans="11:19" ht="15" thickBot="1" x14ac:dyDescent="0.45">
      <c r="K104" s="11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30">
        <f>IF(SUM(ShadowAbilities4Scenario4[[#This Row],[takes]]) &gt; 0,ShadowAbilities4Scenario4[[#This Row],[takes]]/SUM(ShadowAbilities4Scenario4[takes]),0)</f>
        <v>0</v>
      </c>
      <c r="O104" s="30">
        <f>IF(ShadowAbilities4Scenario4[[#This Row],[takes]]&gt;0,ShadowAbilities4Scenario4[[#This Row],[wins]]/ShadowAbilities4Scenario4[[#This Row],[takes]],0)</f>
        <v>0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1" t="s">
        <v>824</v>
      </c>
      <c r="L106" s="42"/>
      <c r="M106" s="42"/>
      <c r="N106" s="42"/>
      <c r="O106" s="42"/>
      <c r="P106" s="42"/>
      <c r="Q106" s="42"/>
      <c r="R106" s="42"/>
      <c r="S106" s="43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169</v>
      </c>
      <c r="S107" s="22" t="s">
        <v>164</v>
      </c>
    </row>
    <row r="108" spans="11:19" x14ac:dyDescent="0.4">
      <c r="K108" t="s">
        <v>47</v>
      </c>
      <c r="L108" s="2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8" s="20">
        <f>COUNTIF(Scenario5[winner1-ability1],ShadowAbilities1Scenario5[[#This Row],[ability]])+COUNTIF(Scenario5[winner2-ability1],ShadowAbilities1Scenario5[[#This Row],[ability]])</f>
        <v>0</v>
      </c>
      <c r="N108" s="21">
        <f>IF(SUM(ShadowAbilities1Scenario5[[#This Row],[takes]]) &gt; 0,ShadowAbilities1Scenario5[[#This Row],[takes]]/SUM(ShadowAbilities1Scenario5[takes]),0)</f>
        <v>0</v>
      </c>
      <c r="O108" s="21">
        <f>IF(ShadowAbilities1Scenario5[[#This Row],[takes]]&gt;0,ShadowAbilities1Scenario5[[#This Row],[wins]]/ShadowAbilities1Scenario5[[#This Row],[takes]],0)</f>
        <v>0</v>
      </c>
      <c r="P108" s="20"/>
      <c r="Q108" s="20">
        <v>1</v>
      </c>
      <c r="R108" s="2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8" s="22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3</v>
      </c>
    </row>
    <row r="109" spans="11:19" x14ac:dyDescent="0.4">
      <c r="K109" t="s">
        <v>86</v>
      </c>
      <c r="L109" s="2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9" s="20">
        <f>COUNTIF(Scenario5[winner1-ability1],ShadowAbilities1Scenario5[[#This Row],[ability]])+COUNTIF(Scenario5[winner2-ability1],ShadowAbilities1Scenario5[[#This Row],[ability]])</f>
        <v>0</v>
      </c>
      <c r="N109" s="21">
        <f>IF(SUM(ShadowAbilities1Scenario5[[#This Row],[takes]]) &gt; 0,ShadowAbilities1Scenario5[[#This Row],[takes]]/SUM(ShadowAbilities1Scenario5[takes]),0)</f>
        <v>0</v>
      </c>
      <c r="O109" s="21">
        <f>IF(ShadowAbilities1Scenario5[[#This Row],[takes]]&gt;0,ShadowAbilities1Scenario5[[#This Row],[wins]]/ShadowAbilities1Scenario5[[#This Row],[takes]],0)</f>
        <v>0</v>
      </c>
      <c r="P109" s="20"/>
      <c r="Q109" s="20">
        <v>2</v>
      </c>
      <c r="R109" s="2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9" s="22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0</v>
      </c>
    </row>
    <row r="110" spans="11:19" x14ac:dyDescent="0.4">
      <c r="K110" t="s">
        <v>140</v>
      </c>
      <c r="L110" s="2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</v>
      </c>
      <c r="M110" s="20">
        <f>COUNTIF(Scenario5[winner1-ability1],ShadowAbilities1Scenario5[[#This Row],[ability]])+COUNTIF(Scenario5[winner2-ability1],ShadowAbilities1Scenario5[[#This Row],[ability]])</f>
        <v>1</v>
      </c>
      <c r="N110" s="21">
        <f>IF(SUM(ShadowAbilities1Scenario5[[#This Row],[takes]]) &gt; 0,ShadowAbilities1Scenario5[[#This Row],[takes]]/SUM(ShadowAbilities1Scenario5[takes]),0)</f>
        <v>1</v>
      </c>
      <c r="O110" s="21">
        <f>IF(ShadowAbilities1Scenario5[[#This Row],[takes]]&gt;0,ShadowAbilities1Scenario5[[#This Row],[wins]]/ShadowAbilities1Scenario5[[#This Row],[takes]],0)</f>
        <v>0.33333333333333331</v>
      </c>
      <c r="P110" s="20"/>
      <c r="Q110" s="20">
        <v>3</v>
      </c>
      <c r="R110" s="2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3</v>
      </c>
      <c r="S110" s="22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0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0</v>
      </c>
      <c r="M113" s="2">
        <f>COUNTIF(Scenario5[winner1-ability2],ShadowAbilities2Scenario5[[#This Row],[ability]])+COUNTIF(Scenario5[winner2-ability2],ShadowAbilities2Scenario5[[#This Row],[ability]])</f>
        <v>0</v>
      </c>
      <c r="N113" s="13">
        <f>IF(SUM(ShadowAbilities2Scenario5[[#This Row],[takes]]) &gt; 0,ShadowAbilities2Scenario5[[#This Row],[takes]]/SUM(ShadowAbilities2Scenario5[takes]),0)</f>
        <v>0</v>
      </c>
      <c r="O113" s="13">
        <f>IF(ShadowAbilities2Scenario5[[#This Row],[takes]]&gt;0,ShadowAbilities2Scenario5[[#This Row],[wins]]/ShadowAbilities2Scenario5[[#This Row],[takes]],0)</f>
        <v>0</v>
      </c>
      <c r="P113" s="20"/>
      <c r="Q113" s="20"/>
      <c r="R113" s="20"/>
      <c r="S113" s="22"/>
    </row>
    <row r="114" spans="11:19" x14ac:dyDescent="0.4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0</v>
      </c>
      <c r="M114" s="2">
        <f>COUNTIF(Scenario5[winner1-ability2],ShadowAbilities2Scenario5[[#This Row],[ability]])+COUNTIF(Scenario5[winner2-ability2],ShadowAbilities2Scenario5[[#This Row],[ability]])</f>
        <v>0</v>
      </c>
      <c r="N114" s="21">
        <f>IF(SUM(ShadowAbilities2Scenario5[[#This Row],[takes]]) &gt; 0,ShadowAbilities2Scenario5[[#This Row],[takes]]/SUM(ShadowAbilities2Scenario5[takes]),0)</f>
        <v>0</v>
      </c>
      <c r="O114" s="21">
        <f>IF(ShadowAbilities2Scenario5[[#This Row],[takes]]&gt;0,ShadowAbilities2Scenario5[[#This Row],[wins]]/ShadowAbilities2Scenario5[[#This Row],[takes]],0)</f>
        <v>0</v>
      </c>
      <c r="P114" s="20"/>
      <c r="Q114" s="20"/>
      <c r="R114" s="20"/>
      <c r="S114" s="22"/>
    </row>
    <row r="115" spans="11:19" x14ac:dyDescent="0.4">
      <c r="K115" s="11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</v>
      </c>
      <c r="M115" s="2">
        <f>COUNTIF(Scenario5[winner1-ability2],ShadowAbilities2Scenario5[[#This Row],[ability]])+COUNTIF(Scenario5[winner2-ability2],ShadowAbilities2Scenario5[[#This Row],[ability]])</f>
        <v>0</v>
      </c>
      <c r="N115" s="14">
        <f>IF(SUM(ShadowAbilities2Scenario5[[#This Row],[takes]]) &gt; 0,ShadowAbilities2Scenario5[[#This Row],[takes]]/SUM(ShadowAbilities2Scenario5[takes]),0)</f>
        <v>1</v>
      </c>
      <c r="O115" s="14">
        <f>IF(ShadowAbilities2Scenario5[[#This Row],[takes]]&gt;0,ShadowAbilities2Scenario5[[#This Row],[wins]]/ShadowAbilities2Scenario5[[#This Row],[takes]],0)</f>
        <v>0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</v>
      </c>
      <c r="M118" s="1">
        <f>COUNTIF(Scenario5[winner1-ability3],ShadowAbilities3Scenario5[[#This Row],[ability]])+COUNTIF(Scenario5[winner2-ability3],ShadowAbilities3Scenario5[[#This Row],[ability]])</f>
        <v>0</v>
      </c>
      <c r="N118" s="15">
        <f>IF(SUM(ShadowAbilities3Scenario5[[#This Row],[takes]]) &gt; 0,ShadowAbilities3Scenario5[[#This Row],[takes]]/SUM(ShadowAbilities3Scenario5[takes]),0)</f>
        <v>1</v>
      </c>
      <c r="O118" s="15">
        <f>IF(ShadowAbilities3Scenario5[[#This Row],[takes]]&gt;0,ShadowAbilities3Scenario5[[#This Row],[wins]]/ShadowAbilities3Scenario5[[#This Row],[takes]],0)</f>
        <v>0</v>
      </c>
      <c r="P118" s="20"/>
      <c r="Q118" s="20"/>
      <c r="R118" s="20"/>
      <c r="S118" s="22"/>
    </row>
    <row r="119" spans="11:19" x14ac:dyDescent="0.4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0</v>
      </c>
      <c r="M119" s="2">
        <f>COUNTIF(Scenario5[winner1-ability3],ShadowAbilities3Scenario5[[#This Row],[ability]])+COUNTIF(Scenario5[winner2-ability3],ShadowAbilities3Scenario5[[#This Row],[ability]])</f>
        <v>0</v>
      </c>
      <c r="N119" s="13">
        <f>IF(SUM(ShadowAbilities3Scenario5[[#This Row],[takes]]) &gt; 0,ShadowAbilities3Scenario5[[#This Row],[takes]]/SUM(ShadowAbilities3Scenario5[takes]),0)</f>
        <v>0</v>
      </c>
      <c r="O119" s="13">
        <f>IF(ShadowAbilities3Scenario5[[#This Row],[takes]]&gt;0,ShadowAbilities3Scenario5[[#This Row],[wins]]/ShadowAbilities3Scenario5[[#This Row],[takes]],0)</f>
        <v>0</v>
      </c>
      <c r="P119" s="20"/>
      <c r="Q119" s="20"/>
      <c r="R119" s="20"/>
      <c r="S119" s="22"/>
    </row>
    <row r="120" spans="11:19" x14ac:dyDescent="0.4">
      <c r="K120" s="12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0</v>
      </c>
      <c r="M120" s="1">
        <f>COUNTIF(Scenario5[winner1-ability3],ShadowAbilities3Scenario5[[#This Row],[ability]])+COUNTIF(Scenario5[winner2-ability3],ShadowAbilities3Scenario5[[#This Row],[ability]])</f>
        <v>0</v>
      </c>
      <c r="N120" s="16">
        <f>IF(SUM(ShadowAbilities3Scenario5[[#This Row],[takes]]) &gt; 0,ShadowAbilities3Scenario5[[#This Row],[takes]]/SUM(ShadowAbilities3Scenario5[takes]),0)</f>
        <v>0</v>
      </c>
      <c r="O120" s="16">
        <f>IF(ShadowAbilities3Scenario5[[#This Row],[takes]]&gt;0,ShadowAbilities3Scenario5[[#This Row],[wins]]/ShadowAbilities3Scenario5[[#This Row],[takes]],0)</f>
        <v>0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0</v>
      </c>
      <c r="M123" s="2">
        <f>COUNTIF(Scenario5[winner1-ability4],ShadowAbilities4Scenario5[[#This Row],[ability]])+COUNTIF(Scenario5[winner2-ability4],ShadowAbilities4Scenario5[[#This Row],[ability]])</f>
        <v>0</v>
      </c>
      <c r="N123" s="13">
        <f>IF(SUM(ShadowAbilities4Scenario5[[#This Row],[takes]]) &gt; 0,ShadowAbilities4Scenario5[[#This Row],[takes]]/SUM(ShadowAbilities4Scenario5[takes]),0)</f>
        <v>0</v>
      </c>
      <c r="O123" s="13">
        <f>IF(ShadowAbilities4Scenario5[[#This Row],[takes]]&gt;0,ShadowAbilities4Scenario5[[#This Row],[wins]]/ShadowAbilities4Scenario5[[#This Row],[takes]],0)</f>
        <v>0</v>
      </c>
      <c r="P123" s="20"/>
      <c r="Q123" s="20"/>
      <c r="R123" s="20"/>
      <c r="S123" s="22"/>
    </row>
    <row r="124" spans="11:19" x14ac:dyDescent="0.4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0</v>
      </c>
      <c r="M124" s="2">
        <f>COUNTIF(Scenario5[winner1-ability4],ShadowAbilities4Scenario5[[#This Row],[ability]])+COUNTIF(Scenario5[winner2-ability4],ShadowAbilities4Scenario5[[#This Row],[ability]])</f>
        <v>0</v>
      </c>
      <c r="N124" s="13">
        <f>IF(SUM(ShadowAbilities4Scenario5[[#This Row],[takes]]) &gt; 0,ShadowAbilities4Scenario5[[#This Row],[takes]]/SUM(ShadowAbilities4Scenario5[takes]),0)</f>
        <v>0</v>
      </c>
      <c r="O124" s="13">
        <f>IF(ShadowAbilities4Scenario5[[#This Row],[takes]]&gt;0,ShadowAbilities4Scenario5[[#This Row],[wins]]/ShadowAbilities4Scenario5[[#This Row],[takes]],0)</f>
        <v>0</v>
      </c>
      <c r="P124" s="20"/>
      <c r="Q124" s="20"/>
      <c r="R124" s="20"/>
      <c r="S124" s="22"/>
    </row>
    <row r="125" spans="11:19" ht="15" thickBot="1" x14ac:dyDescent="0.45">
      <c r="K125" s="11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0</v>
      </c>
      <c r="M125" s="2">
        <f>COUNTIF(Scenario5[winner1-ability4],ShadowAbilities4Scenario5[[#This Row],[ability]])+COUNTIF(Scenario5[winner2-ability4],ShadowAbilities4Scenario5[[#This Row],[ability]])</f>
        <v>0</v>
      </c>
      <c r="N125" s="30">
        <f>IF(SUM(ShadowAbilities4Scenario5[[#This Row],[takes]]) &gt; 0,ShadowAbilities4Scenario5[[#This Row],[takes]]/SUM(ShadowAbilities4Scenario5[takes]),0)</f>
        <v>0</v>
      </c>
      <c r="O125" s="30">
        <f>IF(ShadowAbilities4Scenario5[[#This Row],[takes]]&gt;0,ShadowAbilities4Scenario5[[#This Row],[wins]]/ShadowAbilities4Scenario5[[#This Row],[takes]],0)</f>
        <v>0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topLeftCell="D1" workbookViewId="0">
      <selection activeCell="I3" sqref="I3:I9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bestFit="1" customWidth="1"/>
    <col min="15" max="15" width="23.3828125" bestFit="1" customWidth="1"/>
    <col min="16" max="16" width="3.84375" bestFit="1" customWidth="1"/>
    <col min="18" max="18" width="9.3046875" bestFit="1" customWidth="1"/>
  </cols>
  <sheetData>
    <row r="1" spans="1:16" ht="15" thickBot="1" x14ac:dyDescent="0.45">
      <c r="A1" s="41" t="s">
        <v>78</v>
      </c>
      <c r="B1" s="42"/>
      <c r="C1" s="42"/>
      <c r="D1" s="42"/>
      <c r="E1" s="42"/>
      <c r="F1" s="42"/>
      <c r="G1" s="43"/>
      <c r="I1" s="41" t="s">
        <v>82</v>
      </c>
      <c r="J1" s="42"/>
      <c r="K1" s="42"/>
      <c r="L1" s="42"/>
      <c r="M1" s="43"/>
      <c r="O1" s="5" t="s">
        <v>157</v>
      </c>
      <c r="P1" s="36">
        <f>MIN(Scenario0[crystals])</f>
        <v>1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5" t="s">
        <v>107</v>
      </c>
      <c r="P2" s="36">
        <f>AVERAGE(Scenario0[crystals])</f>
        <v>6.8</v>
      </c>
    </row>
    <row r="3" spans="1:16" ht="15" thickBot="1" x14ac:dyDescent="0.45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3" s="3">
        <f>IF(ScenarioTeams0[[#This Row],[battles]],ScenarioTeams0[[#This Row],[wins]]/ScenarioTeams0[[#This Row],[battles]],0)</f>
        <v>0.73333333333333328</v>
      </c>
      <c r="O3" s="5" t="s">
        <v>159</v>
      </c>
      <c r="P3" s="36">
        <f>MAX(Scenario0[crystals])</f>
        <v>18</v>
      </c>
    </row>
    <row r="4" spans="1:16" ht="15" thickBot="1" x14ac:dyDescent="0.45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4" s="3">
        <f>IF(ScenarioTeams0[[#This Row],[battles]],ScenarioTeams0[[#This Row],[wins]]/ScenarioTeams0[[#This Row],[battles]],0)</f>
        <v>0.33333333333333331</v>
      </c>
    </row>
    <row r="5" spans="1:16" ht="15" thickBot="1" x14ac:dyDescent="0.45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5" s="3">
        <f>IF(ScenarioTeams0[[#This Row],[battles]],ScenarioTeams0[[#This Row],[wins]]/ScenarioTeams0[[#This Row],[battles]],0)</f>
        <v>0.6</v>
      </c>
      <c r="O5" s="5" t="s">
        <v>158</v>
      </c>
      <c r="P5" s="36">
        <f>MIN(Scenario0[turns])</f>
        <v>17</v>
      </c>
    </row>
    <row r="6" spans="1:16" ht="15" thickBot="1" x14ac:dyDescent="0.45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6" s="3">
        <f>IF(ScenarioTeams0[[#This Row],[battles]],ScenarioTeams0[[#This Row],[wins]]/ScenarioTeams0[[#This Row],[battles]],0)</f>
        <v>0.53333333333333333</v>
      </c>
      <c r="O6" s="6" t="s">
        <v>108</v>
      </c>
      <c r="P6" s="37">
        <f>AVERAGE(Scenario0[turns])</f>
        <v>30.947619047619046</v>
      </c>
    </row>
    <row r="7" spans="1:16" ht="15" thickBot="1" x14ac:dyDescent="0.45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7" s="3">
        <f>IF(ScenarioTeams0[[#This Row],[battles]],ScenarioTeams0[[#This Row],[wins]]/ScenarioTeams0[[#This Row],[battles]],0)</f>
        <v>0.6</v>
      </c>
      <c r="O7" s="6" t="s">
        <v>160</v>
      </c>
      <c r="P7" s="37">
        <f>MAX(Scenario0[turns])</f>
        <v>80</v>
      </c>
    </row>
    <row r="8" spans="1:16" ht="15" thickBot="1" x14ac:dyDescent="0.45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" thickBot="1" x14ac:dyDescent="0.45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9" s="3">
        <f>IF(ScenarioTeams0[[#This Row],[battles]],ScenarioTeams0[[#This Row],[wins]]/ScenarioTeams0[[#This Row],[battles]],0)</f>
        <v>0.46666666666666667</v>
      </c>
      <c r="O9" s="35" t="s">
        <v>395</v>
      </c>
      <c r="P9" s="36">
        <f>120000*$P$6/1000/60</f>
        <v>61.895238095238092</v>
      </c>
    </row>
    <row r="10" spans="1:16" ht="15" thickBot="1" x14ac:dyDescent="0.45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0" s="3">
        <f>IF(ScenarioTeams0[[#This Row],[battles]],ScenarioTeams0[[#This Row],[wins]]/ScenarioTeams0[[#This Row],[battles]],0)</f>
        <v>0.26666666666666666</v>
      </c>
      <c r="O10" s="34" t="s">
        <v>396</v>
      </c>
      <c r="P10" s="37">
        <f>P9*COUNTA(ScenarioStat0[hero-1])/60/24</f>
        <v>9.0263888888888886</v>
      </c>
    </row>
    <row r="11" spans="1:16" x14ac:dyDescent="0.4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1" s="3">
        <f>IF(ScenarioTeams0[[#This Row],[battles]],ScenarioTeams0[[#This Row],[wins]]/ScenarioTeams0[[#This Row],[battles]],0)</f>
        <v>0.6</v>
      </c>
    </row>
    <row r="12" spans="1:16" x14ac:dyDescent="0.4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12" s="3">
        <f>IF(ScenarioTeams0[[#This Row],[battles]],ScenarioTeams0[[#This Row],[wins]]/ScenarioTeams0[[#This Row],[battles]],0)</f>
        <v>0.8</v>
      </c>
    </row>
    <row r="13" spans="1:16" x14ac:dyDescent="0.4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3" s="3">
        <f>IF(ScenarioTeams0[[#This Row],[battles]],ScenarioTeams0[[#This Row],[wins]]/ScenarioTeams0[[#This Row],[battles]],0)</f>
        <v>0.66666666666666663</v>
      </c>
    </row>
    <row r="14" spans="1:16" x14ac:dyDescent="0.4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4" s="3">
        <f>IF(ScenarioTeams0[[#This Row],[battles]],ScenarioTeams0[[#This Row],[wins]]/ScenarioTeams0[[#This Row],[battles]],0)</f>
        <v>0.4</v>
      </c>
    </row>
    <row r="15" spans="1:16" x14ac:dyDescent="0.4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5" s="3">
        <f>IF(ScenarioTeams0[[#This Row],[battles]],ScenarioTeams0[[#This Row],[wins]]/ScenarioTeams0[[#This Row],[battles]],0)</f>
        <v>0.46666666666666667</v>
      </c>
    </row>
    <row r="16" spans="1:16" x14ac:dyDescent="0.4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6" s="3">
        <f>IF(ScenarioTeams0[[#This Row],[battles]],ScenarioTeams0[[#This Row],[wins]]/ScenarioTeams0[[#This Row],[battles]],0)</f>
        <v>0.4</v>
      </c>
    </row>
    <row r="17" spans="1:13" x14ac:dyDescent="0.4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7" s="3">
        <f>IF(ScenarioTeams0[[#This Row],[battles]],ScenarioTeams0[[#This Row],[wins]]/ScenarioTeams0[[#This Row],[battles]],0)</f>
        <v>0.26666666666666666</v>
      </c>
    </row>
    <row r="18" spans="1:13" x14ac:dyDescent="0.4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8" s="3">
        <f>IF(ScenarioTeams0[[#This Row],[battles]],ScenarioTeams0[[#This Row],[wins]]/ScenarioTeams0[[#This Row],[battles]],0)</f>
        <v>0.53333333333333333</v>
      </c>
    </row>
    <row r="19" spans="1:13" x14ac:dyDescent="0.4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9" s="3">
        <f>IF(ScenarioTeams0[[#This Row],[battles]],ScenarioTeams0[[#This Row],[wins]]/ScenarioTeams0[[#This Row],[battles]],0)</f>
        <v>0.33333333333333331</v>
      </c>
    </row>
    <row r="20" spans="1:13" x14ac:dyDescent="0.4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20" s="3">
        <f>IF(ScenarioTeams0[[#This Row],[battles]],ScenarioTeams0[[#This Row],[wins]]/ScenarioTeams0[[#This Row],[battles]],0)</f>
        <v>0.13333333333333333</v>
      </c>
    </row>
    <row r="21" spans="1:13" x14ac:dyDescent="0.4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1" s="3">
        <f>IF(ScenarioTeams0[[#This Row],[battles]],ScenarioTeams0[[#This Row],[wins]]/ScenarioTeams0[[#This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2" s="3">
        <f>IF(ScenarioTeams0[[#This Row],[battles]],ScenarioTeams0[[#This Row],[wins]]/ScenarioTeams0[[#This Row],[battles]],0)</f>
        <v>0.73333333333333328</v>
      </c>
    </row>
    <row r="23" spans="1:13" x14ac:dyDescent="0.4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23" s="3">
        <f>IF(ScenarioTeams0[[#This Row],[battles]],ScenarioTeams0[[#This Row],[wins]]/ScenarioTeams0[[#This Row],[battles]],0)</f>
        <v>0.33333333333333331</v>
      </c>
    </row>
    <row r="24" spans="1:13" x14ac:dyDescent="0.4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4" s="3">
        <f>IF(ScenarioTeams0[[#This Row],[battles]],ScenarioTeams0[[#This Row],[wins]]/ScenarioTeams0[[#This Row],[battles]],0)</f>
        <v>0.66666666666666663</v>
      </c>
    </row>
    <row r="25" spans="1:13" x14ac:dyDescent="0.4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5" s="3">
        <f>IF(ScenarioTeams0[[#This Row],[battles]],ScenarioTeams0[[#This Row],[wins]]/ScenarioTeams0[[#This Row],[battles]],0)</f>
        <v>0.53333333333333333</v>
      </c>
    </row>
    <row r="26" spans="1:13" x14ac:dyDescent="0.4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6" s="3">
        <f>IF(ScenarioTeams0[[#This Row],[battles]],ScenarioTeams0[[#This Row],[wins]]/ScenarioTeams0[[#This Row],[battles]],0)</f>
        <v>0.6</v>
      </c>
    </row>
    <row r="27" spans="1:13" x14ac:dyDescent="0.4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7" s="3">
        <f>IF(ScenarioTeams0[[#This Row],[battles]],ScenarioTeams0[[#This Row],[wins]]/ScenarioTeams0[[#This Row],[battles]],0)</f>
        <v>0.66666666666666663</v>
      </c>
    </row>
    <row r="28" spans="1:13" x14ac:dyDescent="0.4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8" s="3">
        <f>IF(ScenarioTeams0[[#This Row],[battles]],ScenarioTeams0[[#This Row],[wins]]/ScenarioTeams0[[#This Row],[battles]],0)</f>
        <v>0.6</v>
      </c>
    </row>
    <row r="29" spans="1:13" x14ac:dyDescent="0.4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9" s="3">
        <f>IF(ScenarioTeams0[[#This Row],[battles]],ScenarioTeams0[[#This Row],[wins]]/ScenarioTeams0[[#This Row],[battles]],0)</f>
        <v>0.53333333333333333</v>
      </c>
    </row>
    <row r="30" spans="1:13" x14ac:dyDescent="0.4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0" s="3">
        <f>IF(ScenarioTeams0[[#This Row],[battles]],ScenarioTeams0[[#This Row],[wins]]/ScenarioTeams0[[#This Row],[battles]],0)</f>
        <v>0.33333333333333331</v>
      </c>
    </row>
    <row r="31" spans="1:13" x14ac:dyDescent="0.4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">
        <f>ScenarioStat0[[#This Row],[team-1-win]]+ScenarioStat0[[#This Row],[team-2-win]]</f>
        <v>1</v>
      </c>
    </row>
    <row r="32" spans="1:13" x14ac:dyDescent="0.4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2">
        <f>ScenarioStat0[[#This Row],[team-1-win]]+ScenarioStat0[[#This Row],[team-2-win]]</f>
        <v>1</v>
      </c>
    </row>
    <row r="33" spans="1:7" x14ac:dyDescent="0.4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4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4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</row>
    <row r="36" spans="1:7" x14ac:dyDescent="0.4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">
        <f>ScenarioStat0[[#This Row],[team-1-win]]+ScenarioStat0[[#This Row],[team-2-win]]</f>
        <v>1</v>
      </c>
    </row>
    <row r="37" spans="1:7" x14ac:dyDescent="0.4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4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4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4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4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4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1</v>
      </c>
    </row>
    <row r="43" spans="1:7" x14ac:dyDescent="0.4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3">
        <f>ScenarioStat0[[#This Row],[team-1-win]]+ScenarioStat0[[#This Row],[team-2-win]]</f>
        <v>1</v>
      </c>
    </row>
    <row r="44" spans="1:7" x14ac:dyDescent="0.4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4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7" x14ac:dyDescent="0.4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4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4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4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4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4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1">
        <f>ScenarioStat0[[#This Row],[team-1-win]]+ScenarioStat0[[#This Row],[team-2-win]]</f>
        <v>1</v>
      </c>
    </row>
    <row r="52" spans="1:7" x14ac:dyDescent="0.4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4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4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4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4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4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4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1</v>
      </c>
    </row>
    <row r="59" spans="1:7" x14ac:dyDescent="0.4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4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4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4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2">
        <f>ScenarioStat0[[#This Row],[team-1-win]]+ScenarioStat0[[#This Row],[team-2-win]]</f>
        <v>1</v>
      </c>
    </row>
    <row r="63" spans="1:7" x14ac:dyDescent="0.4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3">
        <f>ScenarioStat0[[#This Row],[team-1-win]]+ScenarioStat0[[#This Row],[team-2-win]]</f>
        <v>1</v>
      </c>
    </row>
    <row r="64" spans="1:7" x14ac:dyDescent="0.4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4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4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4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7">
        <f>ScenarioStat0[[#This Row],[team-1-win]]+ScenarioStat0[[#This Row],[team-2-win]]</f>
        <v>1</v>
      </c>
    </row>
    <row r="68" spans="1:7" x14ac:dyDescent="0.4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4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4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4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4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4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4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4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5">
        <f>ScenarioStat0[[#This Row],[team-1-win]]+ScenarioStat0[[#This Row],[team-2-win]]</f>
        <v>1</v>
      </c>
    </row>
    <row r="76" spans="1:7" x14ac:dyDescent="0.4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4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4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1</v>
      </c>
    </row>
    <row r="79" spans="1:7" x14ac:dyDescent="0.4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4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4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4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4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4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4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5">
        <f>ScenarioStat0[[#This Row],[team-1-win]]+ScenarioStat0[[#This Row],[team-2-win]]</f>
        <v>1</v>
      </c>
    </row>
    <row r="86" spans="1:7" x14ac:dyDescent="0.4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4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4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1</v>
      </c>
    </row>
    <row r="89" spans="1:7" x14ac:dyDescent="0.4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4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4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1</v>
      </c>
    </row>
    <row r="92" spans="1:7" x14ac:dyDescent="0.4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4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4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4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4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4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4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4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1</v>
      </c>
    </row>
    <row r="100" spans="1:7" x14ac:dyDescent="0.4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4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4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4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4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4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4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4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1</v>
      </c>
    </row>
    <row r="108" spans="1:7" x14ac:dyDescent="0.4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4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4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4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4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4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4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4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4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4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7">
        <f>ScenarioStat0[[#This Row],[team-1-win]]+ScenarioStat0[[#This Row],[team-2-win]]</f>
        <v>1</v>
      </c>
    </row>
    <row r="118" spans="1:7" x14ac:dyDescent="0.4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4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4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4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4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4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4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4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4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1</v>
      </c>
    </row>
    <row r="127" spans="1:7" x14ac:dyDescent="0.4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4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4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4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4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1</v>
      </c>
    </row>
    <row r="132" spans="1:7" x14ac:dyDescent="0.4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4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4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1</v>
      </c>
    </row>
    <row r="135" spans="1:7" x14ac:dyDescent="0.4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1</v>
      </c>
    </row>
    <row r="136" spans="1:7" x14ac:dyDescent="0.4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4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4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1</v>
      </c>
    </row>
    <row r="139" spans="1:7" x14ac:dyDescent="0.4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4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4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4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4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4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4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4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4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4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4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4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4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1</v>
      </c>
    </row>
    <row r="152" spans="1:7" x14ac:dyDescent="0.4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4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4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4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1</v>
      </c>
    </row>
    <row r="156" spans="1:7" x14ac:dyDescent="0.4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4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4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4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4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0">
        <f>ScenarioStat0[[#This Row],[team-1-win]]+ScenarioStat0[[#This Row],[team-2-win]]</f>
        <v>1</v>
      </c>
    </row>
    <row r="161" spans="1:7" x14ac:dyDescent="0.4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4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4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4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1</v>
      </c>
    </row>
    <row r="165" spans="1:7" x14ac:dyDescent="0.4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4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4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4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4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4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4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4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4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4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4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4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4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4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4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9">
        <f>ScenarioStat0[[#This Row],[team-1-win]]+ScenarioStat0[[#This Row],[team-2-win]]</f>
        <v>1</v>
      </c>
    </row>
    <row r="180" spans="1:7" x14ac:dyDescent="0.4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4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4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4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4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4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4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4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4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1</v>
      </c>
    </row>
    <row r="189" spans="1:7" x14ac:dyDescent="0.4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4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4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4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4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4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4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4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6">
        <f>ScenarioStat0[[#This Row],[team-1-win]]+ScenarioStat0[[#This Row],[team-2-win]]</f>
        <v>1</v>
      </c>
    </row>
    <row r="197" spans="1:7" x14ac:dyDescent="0.4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4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4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4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1</v>
      </c>
    </row>
    <row r="201" spans="1:7" x14ac:dyDescent="0.4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4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4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4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4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4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4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4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4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4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1</v>
      </c>
    </row>
    <row r="211" spans="1:7" x14ac:dyDescent="0.4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4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9" sqref="H9"/>
    </sheetView>
  </sheetViews>
  <sheetFormatPr defaultRowHeight="14.6" x14ac:dyDescent="0.4"/>
  <cols>
    <col min="1" max="1" width="18.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10.07421875" bestFit="1" customWidth="1"/>
    <col min="9" max="9" width="11.84375" bestFit="1" customWidth="1"/>
    <col min="10" max="10" width="3.84375" customWidth="1"/>
    <col min="11" max="11" width="18.3046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10.07421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3"/>
      <c r="K1" s="41" t="s">
        <v>392</v>
      </c>
      <c r="L1" s="42"/>
      <c r="M1" s="42"/>
      <c r="N1" s="42"/>
      <c r="O1" s="42"/>
      <c r="P1" s="42"/>
      <c r="Q1" s="42"/>
      <c r="R1" s="42"/>
      <c r="S1" s="43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170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170</v>
      </c>
      <c r="S2" s="22" t="s">
        <v>164</v>
      </c>
      <c r="T2" s="20"/>
      <c r="U2" t="s">
        <v>413</v>
      </c>
      <c r="V2" s="3">
        <f>H4/SUM(LightbringerEquip[hammer])</f>
        <v>0.38162544169611307</v>
      </c>
    </row>
    <row r="3" spans="1:22" x14ac:dyDescent="0.4">
      <c r="A3" t="s">
        <v>72</v>
      </c>
      <c r="B3" s="20">
        <f>L3+L24+L45+L66+L87+L108</f>
        <v>192</v>
      </c>
      <c r="C3" s="20">
        <f>M3+M24+M45+M66+M87+M108</f>
        <v>71</v>
      </c>
      <c r="D3" s="21">
        <f>IF(SUM(LightbringerAbilities1[[#This Row],[takes]]) &gt; 0,LightbringerAbilities1[[#This Row],[takes]]/SUM(LightbringerAbilities1[takes]),0)</f>
        <v>0.67844522968197885</v>
      </c>
      <c r="E3" s="21">
        <f>IF(LightbringerAbilities1[[#This Row],[takes]]&gt;0,LightbringerAbilities1[[#This Row],[wins]]/LightbringerAbilities1[[#This Row],[takes]],0)</f>
        <v>0.36979166666666669</v>
      </c>
      <c r="F3" s="20"/>
      <c r="G3" s="20">
        <v>1</v>
      </c>
      <c r="H3" s="20">
        <f>R3+R24+R45+R66+R87+R108</f>
        <v>100</v>
      </c>
      <c r="I3" s="22">
        <f>S3+S24+S45+S66+S87+S108</f>
        <v>207</v>
      </c>
      <c r="K3" t="s">
        <v>72</v>
      </c>
      <c r="L3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62</v>
      </c>
      <c r="M3" s="20">
        <f>COUNTIF(Scenario0[winner1-ability1],LightbringerAbilities1Scenario0[[#This Row],[ability]])+COUNTIF(Scenario0[winner2-ability1],LightbringerAbilities1Scenario0[[#This Row],[ability]])</f>
        <v>22</v>
      </c>
      <c r="N3" s="21">
        <f>IF(SUM(LightbringerAbilities1Scenario0[[#This Row],[takes]]) &gt; 0,LightbringerAbilities1Scenario0[[#This Row],[takes]]/SUM(LightbringerAbilities1Scenario0[takes]),0)</f>
        <v>0.59047619047619049</v>
      </c>
      <c r="O3" s="21">
        <f>IF(LightbringerAbilities1Scenario0[[#This Row],[takes]]&gt;0,LightbringerAbilities1Scenario0[[#This Row],[wins]]/LightbringerAbilities1Scenario0[[#This Row],[takes]],0)</f>
        <v>0.35483870967741937</v>
      </c>
      <c r="P3" s="20"/>
      <c r="Q3" s="20">
        <v>1</v>
      </c>
      <c r="R3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49</v>
      </c>
      <c r="S3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91</v>
      </c>
      <c r="T3" s="20"/>
      <c r="U3" t="s">
        <v>414</v>
      </c>
      <c r="V3" s="18">
        <f>H5/SUM(LightbringerEquip[hammer])</f>
        <v>0.26501766784452296</v>
      </c>
    </row>
    <row r="4" spans="1:22" x14ac:dyDescent="0.4">
      <c r="A4" t="s">
        <v>145</v>
      </c>
      <c r="B4" s="20">
        <f t="shared" ref="B4:B5" si="0">L4+L25+L46+L67+L88+L109</f>
        <v>11</v>
      </c>
      <c r="C4" s="20">
        <f t="shared" ref="C4:C5" si="1">M4+M25+M46+M67+M88+M109</f>
        <v>5</v>
      </c>
      <c r="D4" s="21">
        <f>IF(SUM(LightbringerAbilities1[[#This Row],[takes]]) &gt; 0,LightbringerAbilities1[[#This Row],[takes]]/SUM(LightbringerAbilities1[takes]),0)</f>
        <v>3.8869257950530034E-2</v>
      </c>
      <c r="E4" s="21">
        <f>IF(LightbringerAbilities1[[#This Row],[takes]]&gt;0,LightbringerAbilities1[[#This Row],[wins]]/LightbringerAbilities1[[#This Row],[takes]],0)</f>
        <v>0.45454545454545453</v>
      </c>
      <c r="F4" s="20"/>
      <c r="G4" s="20">
        <v>2</v>
      </c>
      <c r="H4" s="20">
        <f t="shared" ref="H4:H5" si="2">R4+R25+R46+R67+R88+R109</f>
        <v>108</v>
      </c>
      <c r="I4" s="22">
        <f t="shared" ref="I4:I5" si="3">S4+S25+S46+S67+S88+S109</f>
        <v>27</v>
      </c>
      <c r="K4" t="s">
        <v>145</v>
      </c>
      <c r="L4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 s="20">
        <f>COUNTIF(Scenario0[winner1-ability1],LightbringerAbilities1Scenario0[[#This Row],[ability]])+COUNTIF(Scenario0[winner2-ability1],LightbringerAbilities1Scenario0[[#This Row],[ability]])</f>
        <v>0</v>
      </c>
      <c r="N4" s="21">
        <f>IF(SUM(LightbringerAbilities1Scenario0[[#This Row],[takes]]) &gt; 0,LightbringerAbilities1Scenario0[[#This Row],[takes]]/SUM(LightbringerAbilities1Scenario0[takes]),0)</f>
        <v>0</v>
      </c>
      <c r="O4" s="21">
        <f>IF(LightbringerAbilities1Scenario0[[#This Row],[takes]]&gt;0,LightbringerAbilities1Scenario0[[#This Row],[wins]]/LightbringerAbilities1Scenario0[[#This Row],[takes]],0)</f>
        <v>0</v>
      </c>
      <c r="P4" s="20"/>
      <c r="Q4" s="20">
        <v>2</v>
      </c>
      <c r="R4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42</v>
      </c>
      <c r="S4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12</v>
      </c>
      <c r="T4" s="20"/>
      <c r="U4" t="s">
        <v>179</v>
      </c>
      <c r="V4" s="3">
        <f>LightbringerEquip[[#This Row],[chestpiece]]/SUM(LightbringerEquip[chestpiece])</f>
        <v>9.5406360424028266E-2</v>
      </c>
    </row>
    <row r="5" spans="1:22" x14ac:dyDescent="0.4">
      <c r="A5" t="s">
        <v>103</v>
      </c>
      <c r="B5" s="20">
        <f t="shared" si="0"/>
        <v>80</v>
      </c>
      <c r="C5" s="20">
        <f t="shared" si="1"/>
        <v>44</v>
      </c>
      <c r="D5" s="21">
        <f>IF(SUM(LightbringerAbilities1[[#This Row],[takes]]) &gt; 0,LightbringerAbilities1[[#This Row],[takes]]/SUM(LightbringerAbilities1[takes]),0)</f>
        <v>0.28268551236749118</v>
      </c>
      <c r="E5" s="21">
        <f>IF(LightbringerAbilities1[[#This Row],[takes]]&gt;0,LightbringerAbilities1[[#This Row],[wins]]/LightbringerAbilities1[[#This Row],[takes]],0)</f>
        <v>0.55000000000000004</v>
      </c>
      <c r="F5" s="20"/>
      <c r="G5" s="20">
        <v>3</v>
      </c>
      <c r="H5" s="20">
        <f t="shared" si="2"/>
        <v>75</v>
      </c>
      <c r="I5" s="22">
        <f t="shared" si="3"/>
        <v>49</v>
      </c>
      <c r="K5" t="s">
        <v>103</v>
      </c>
      <c r="L5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43</v>
      </c>
      <c r="M5" s="20">
        <f>COUNTIF(Scenario0[winner1-ability1],LightbringerAbilities1Scenario0[[#This Row],[ability]])+COUNTIF(Scenario0[winner2-ability1],LightbringerAbilities1Scenario0[[#This Row],[ability]])</f>
        <v>23</v>
      </c>
      <c r="N5" s="21">
        <f>IF(SUM(LightbringerAbilities1Scenario0[[#This Row],[takes]]) &gt; 0,LightbringerAbilities1Scenario0[[#This Row],[takes]]/SUM(LightbringerAbilities1Scenario0[takes]),0)</f>
        <v>0.40952380952380951</v>
      </c>
      <c r="O5" s="21">
        <f>IF(LightbringerAbilities1Scenario0[[#This Row],[takes]]&gt;0,LightbringerAbilities1Scenario0[[#This Row],[wins]]/LightbringerAbilities1Scenario0[[#This Row],[takes]],0)</f>
        <v>0.53488372093023251</v>
      </c>
      <c r="P5" s="20"/>
      <c r="Q5" s="20">
        <v>3</v>
      </c>
      <c r="R5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14</v>
      </c>
      <c r="S5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2</v>
      </c>
      <c r="T5" s="20"/>
      <c r="U5" t="s">
        <v>180</v>
      </c>
      <c r="V5" s="18">
        <f>LightbringerEquip[[#This Row],[chestpiece]]/SUM(LightbringerEquip[chestpiece])</f>
        <v>0.17314487632508835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SUM(LightbringerAbilities2[takes])/SUM(LightbringerAbilities1[takes])</f>
        <v>0.40989399293286222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SUM(LightbringerAbilities3[takes])/SUM(LightbringerAbilities1[takes])</f>
        <v>0.2756183745583039</v>
      </c>
    </row>
    <row r="8" spans="1:22" x14ac:dyDescent="0.4">
      <c r="A8" s="2" t="s">
        <v>95</v>
      </c>
      <c r="B8" s="2">
        <f>L8+L29+L50+L71+L92+L113</f>
        <v>35</v>
      </c>
      <c r="C8" s="2">
        <f>M8+M29+M50+M71+M92+M113</f>
        <v>17</v>
      </c>
      <c r="D8" s="13">
        <f>IF(SUM(LightbringerAbilities2[[#This Row],[takes]]) &gt; 0,LightbringerAbilities2[[#This Row],[takes]]/SUM(LightbringerAbilities2[takes]),0)</f>
        <v>0.30172413793103448</v>
      </c>
      <c r="E8" s="13">
        <f>IF(LightbringerAbilities2[[#This Row],[takes]]&gt;0,LightbringerAbilities2[[#This Row],[wins]]/LightbringerAbilities2[[#This Row],[takes]],0)</f>
        <v>0.48571428571428571</v>
      </c>
      <c r="F8" s="20"/>
      <c r="G8" s="20"/>
      <c r="H8" s="20"/>
      <c r="I8" s="22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10</v>
      </c>
      <c r="M8" s="2">
        <f>COUNTIF(Scenario0[winner1-ability2],LightbringerAbilities2Scenario0[[#This Row],[ability]])+COUNTIF(Scenario0[winner2-ability2],LightbringerAbilities2Scenario0[[#This Row],[ability]])</f>
        <v>7</v>
      </c>
      <c r="N8" s="13">
        <f>IF(SUM(LightbringerAbilities2Scenario0[[#This Row],[takes]]) &gt; 0,LightbringerAbilities2Scenario0[[#This Row],[takes]]/SUM(LightbringerAbilities2Scenario0[takes]),0)</f>
        <v>0.4</v>
      </c>
      <c r="O8" s="13">
        <f>IF(LightbringerAbilities2Scenario0[[#This Row],[takes]]&gt;0,LightbringerAbilities2Scenario0[[#This Row],[wins]]/LightbringerAbilities2Scenario0[[#This Row],[takes]],0)</f>
        <v>0.7</v>
      </c>
      <c r="P8" s="20"/>
      <c r="Q8" s="20"/>
      <c r="R8" s="20"/>
      <c r="S8" s="22"/>
      <c r="T8" s="20"/>
      <c r="U8" t="s">
        <v>178</v>
      </c>
      <c r="V8" s="18">
        <f>SUM(LightbringerAbilities4[takes])/SUM(LightbringerAbilities1[takes])</f>
        <v>0.20848056537102475</v>
      </c>
    </row>
    <row r="9" spans="1:22" x14ac:dyDescent="0.4">
      <c r="A9" t="s">
        <v>146</v>
      </c>
      <c r="B9" s="2">
        <f t="shared" ref="B9:B10" si="4">L9+L30+L51+L72+L93+L114</f>
        <v>79</v>
      </c>
      <c r="C9" s="2">
        <f t="shared" ref="C9:C10" si="5">M9+M30+M51+M72+M93+M114</f>
        <v>30</v>
      </c>
      <c r="D9" s="21">
        <f>IF(SUM(LightbringerAbilities2[[#This Row],[takes]]) &gt; 0,LightbringerAbilities2[[#This Row],[takes]]/SUM(LightbringerAbilities2[takes]),0)</f>
        <v>0.68103448275862066</v>
      </c>
      <c r="E9" s="21">
        <f>IF(LightbringerAbilities2[[#This Row],[takes]]&gt;0,LightbringerAbilities2[[#This Row],[wins]]/LightbringerAbilities2[[#This Row],[takes]],0)</f>
        <v>0.379746835443038</v>
      </c>
      <c r="F9" s="20"/>
      <c r="G9" s="20"/>
      <c r="H9" s="20"/>
      <c r="I9" s="22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14</v>
      </c>
      <c r="M9" s="2">
        <f>COUNTIF(Scenario0[winner1-ability2],LightbringerAbilities2Scenario0[[#This Row],[ability]])+COUNTIF(Scenario0[winner2-ability2],LightbringerAbilities2Scenario0[[#This Row],[ability]])</f>
        <v>4</v>
      </c>
      <c r="N9" s="21">
        <f>IF(SUM(LightbringerAbilities2Scenario0[[#This Row],[takes]]) &gt; 0,LightbringerAbilities2Scenario0[[#This Row],[takes]]/SUM(LightbringerAbilities2Scenario0[takes]),0)</f>
        <v>0.56000000000000005</v>
      </c>
      <c r="O9" s="21">
        <f>IF(LightbringerAbilities2Scenario0[[#This Row],[takes]]&gt;0,LightbringerAbilities2Scenario0[[#This Row],[wins]]/LightbringerAbilities2Scenario0[[#This Row],[takes]],0)</f>
        <v>0.2857142857142857</v>
      </c>
      <c r="P9" s="20"/>
      <c r="Q9" s="20"/>
      <c r="R9" s="20"/>
      <c r="S9" s="22"/>
      <c r="T9" s="20"/>
      <c r="U9" t="s">
        <v>404</v>
      </c>
      <c r="V9" s="39">
        <f>(SUM(LightbringerAbilities2[takes])+SUM(LightbringerAbilities3[takes])+SUM(LightbringerAbilities4[takes])+SUM(H4:H5)+SUM(I4:I5))/SUM(LightbringerAbilities1[takes])</f>
        <v>1.8091872791519434</v>
      </c>
    </row>
    <row r="10" spans="1:22" x14ac:dyDescent="0.4">
      <c r="A10" s="11" t="s">
        <v>91</v>
      </c>
      <c r="B10" s="2">
        <f t="shared" si="4"/>
        <v>2</v>
      </c>
      <c r="C10" s="2">
        <f t="shared" si="5"/>
        <v>0</v>
      </c>
      <c r="D10" s="14">
        <f>IF(SUM(LightbringerAbilities2[[#This Row],[takes]]) &gt; 0,LightbringerAbilities2[[#This Row],[takes]]/SUM(LightbringerAbilities2[takes]),0)</f>
        <v>1.7241379310344827E-2</v>
      </c>
      <c r="E10" s="14">
        <f>IF(LightbringerAbilities2[[#This Row],[takes]]&gt;0,LightbringerAbilities2[[#This Row],[wins]]/LightbringerAbilities2[[#This Row],[takes]],0)</f>
        <v>0</v>
      </c>
      <c r="F10" s="20"/>
      <c r="G10" s="20"/>
      <c r="H10" s="20"/>
      <c r="I10" s="22"/>
      <c r="K10" s="11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</v>
      </c>
      <c r="M10" s="2">
        <f>COUNTIF(Scenario0[winner1-ability2],LightbringerAbilities2Scenario0[[#This Row],[ability]])+COUNTIF(Scenario0[winner2-ability2],LightbringerAbilities2Scenario0[[#This Row],[ability]])</f>
        <v>0</v>
      </c>
      <c r="N10" s="14">
        <f>IF(SUM(LightbringerAbilities2Scenario0[[#This Row],[takes]]) &gt; 0,LightbringerAbilities2Scenario0[[#This Row],[takes]]/SUM(LightbringerAbilities2Scenario0[takes]),0)</f>
        <v>0.04</v>
      </c>
      <c r="O10" s="14">
        <f>IF(LightbringerAbilities2Scenario0[[#This Row],[takes]]&gt;0,LightbringerAbilities2Scenario0[[#This Row],[wins]]/LightbringerAbilities2Scenario0[[#This Row],[takes]],0)</f>
        <v>0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104</v>
      </c>
      <c r="B13" s="1">
        <f>L13+L34+L55+L76+L97+L118</f>
        <v>17</v>
      </c>
      <c r="C13" s="1">
        <f>M13+M34+M55+M76+M97+M118</f>
        <v>9</v>
      </c>
      <c r="D13" s="15">
        <f>IF(SUM(LightbringerAbilities3[[#This Row],[takes]]) &gt; 0,LightbringerAbilities3[[#This Row],[takes]]/SUM(LightbringerAbilities3[takes]),0)</f>
        <v>0.21794871794871795</v>
      </c>
      <c r="E13" s="15">
        <f>IF(LightbringerAbilities3[[#This Row],[takes]]&gt;0,LightbringerAbilities3[[#This Row],[wins]]/LightbringerAbilities3[[#This Row],[takes]],0)</f>
        <v>0.52941176470588236</v>
      </c>
      <c r="F13" s="20"/>
      <c r="G13" s="20"/>
      <c r="H13" s="20"/>
      <c r="I13" s="22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4</v>
      </c>
      <c r="M13" s="1">
        <f>COUNTIF(Scenario0[winner1-ability3],LightbringerAbilities3Scenario0[[#This Row],[ability]])+COUNTIF(Scenario0[winner2-ability3],LightbringerAbilities3Scenario0[[#This Row],[ability]])</f>
        <v>2</v>
      </c>
      <c r="N13" s="15">
        <f>IF(SUM(LightbringerAbilities3Scenario0[[#This Row],[takes]]) &gt; 0,LightbringerAbilities3Scenario0[[#This Row],[takes]]/SUM(LightbringerAbilities3Scenario0[takes]),0)</f>
        <v>0.44444444444444442</v>
      </c>
      <c r="O13" s="15">
        <f>IF(LightbringerAbilities3Scenario0[[#This Row],[takes]]&gt;0,LightbringerAbilities3Scenario0[[#This Row],[wins]]/LightbringerAbilities3Scenario0[[#This Row],[takes]],0)</f>
        <v>0.5</v>
      </c>
      <c r="P13" s="20"/>
      <c r="Q13" s="20"/>
      <c r="R13" s="20"/>
      <c r="S13" s="22"/>
      <c r="T13" s="20"/>
    </row>
    <row r="14" spans="1:22" x14ac:dyDescent="0.4">
      <c r="A14" s="2" t="s">
        <v>147</v>
      </c>
      <c r="B14" s="2">
        <f t="shared" ref="B14:B15" si="6">L14+L35+L56+L77+L98+L119</f>
        <v>17</v>
      </c>
      <c r="C14" s="2">
        <f t="shared" ref="C14:C15" si="7">M14+M35+M56+M77+M98+M119</f>
        <v>8</v>
      </c>
      <c r="D14" s="13">
        <f>IF(SUM(LightbringerAbilities3[[#This Row],[takes]]) &gt; 0,LightbringerAbilities3[[#This Row],[takes]]/SUM(LightbringerAbilities3[takes]),0)</f>
        <v>0.21794871794871795</v>
      </c>
      <c r="E14" s="13">
        <f>IF(LightbringerAbilities3[[#This Row],[takes]]&gt;0,LightbringerAbilities3[[#This Row],[wins]]/LightbringerAbilities3[[#This Row],[takes]],0)</f>
        <v>0.47058823529411764</v>
      </c>
      <c r="F14" s="20"/>
      <c r="G14" s="20"/>
      <c r="H14" s="20"/>
      <c r="I14" s="22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5</v>
      </c>
      <c r="M14" s="2">
        <f>COUNTIF(Scenario0[winner1-ability3],LightbringerAbilities3Scenario0[[#This Row],[ability]])+COUNTIF(Scenario0[winner2-ability3],LightbringerAbilities3Scenario0[[#This Row],[ability]])</f>
        <v>4</v>
      </c>
      <c r="N14" s="13">
        <f>IF(SUM(LightbringerAbilities3Scenario0[[#This Row],[takes]]) &gt; 0,LightbringerAbilities3Scenario0[[#This Row],[takes]]/SUM(LightbringerAbilities3Scenario0[takes]),0)</f>
        <v>0.55555555555555558</v>
      </c>
      <c r="O14" s="13">
        <f>IF(LightbringerAbilities3Scenario0[[#This Row],[takes]]&gt;0,LightbringerAbilities3Scenario0[[#This Row],[wins]]/LightbringerAbilities3Scenario0[[#This Row],[takes]],0)</f>
        <v>0.8</v>
      </c>
      <c r="P14" s="20"/>
      <c r="Q14" s="20"/>
      <c r="R14" s="20"/>
      <c r="S14" s="22"/>
      <c r="T14" s="20"/>
    </row>
    <row r="15" spans="1:22" x14ac:dyDescent="0.4">
      <c r="A15" s="12" t="s">
        <v>148</v>
      </c>
      <c r="B15" s="1">
        <f t="shared" si="6"/>
        <v>44</v>
      </c>
      <c r="C15" s="1">
        <f t="shared" si="7"/>
        <v>17</v>
      </c>
      <c r="D15" s="16">
        <f>IF(SUM(LightbringerAbilities3[[#This Row],[takes]]) &gt; 0,LightbringerAbilities3[[#This Row],[takes]]/SUM(LightbringerAbilities3[takes]),0)</f>
        <v>0.5641025641025641</v>
      </c>
      <c r="E15" s="16">
        <f>IF(LightbringerAbilities3[[#This Row],[takes]]&gt;0,LightbringerAbilities3[[#This Row],[wins]]/LightbringerAbilities3[[#This Row],[takes]],0)</f>
        <v>0.38636363636363635</v>
      </c>
      <c r="F15" s="20"/>
      <c r="G15" s="20"/>
      <c r="H15" s="20"/>
      <c r="I15" s="22"/>
      <c r="K15" s="12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6">
        <f>IF(SUM(LightbringerAbilities3Scenario0[[#This Row],[takes]]) &gt; 0,LightbringerAbilities3Scenario0[[#This Row],[takes]]/SUM(LightbringerAbilities3Scenario0[takes]),0)</f>
        <v>0</v>
      </c>
      <c r="O15" s="16">
        <f>IF(LightbringerAbilities3Scenario0[[#This Row],[takes]]&gt;0,LightbringerAbilities3Scenario0[[#This Row],[wins]]/LightbringerAbilities3Scenario0[[#This Row],[takes]],0)</f>
        <v>0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149</v>
      </c>
      <c r="B18" s="2">
        <f>L18+L39+L60+L81+L102+L123</f>
        <v>17</v>
      </c>
      <c r="C18" s="2">
        <f>M18+M39+M60+M81+M102+M123</f>
        <v>10</v>
      </c>
      <c r="D18" s="13">
        <f>IF(SUM(LightbringerAbilities4[[#This Row],[takes]]) &gt; 0,LightbringerAbilities4[[#This Row],[takes]]/SUM(LightbringerAbilities4[takes]),0)</f>
        <v>0.28813559322033899</v>
      </c>
      <c r="E18" s="13">
        <f>IF(LightbringerAbilities4[[#This Row],[takes]]&gt;0,LightbringerAbilities4[[#This Row],[wins]]/LightbringerAbilities4[[#This Row],[takes]],0)</f>
        <v>0.58823529411764708</v>
      </c>
      <c r="F18" s="20"/>
      <c r="G18" s="20"/>
      <c r="H18" s="20"/>
      <c r="I18" s="22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3">
        <f>IF(SUM(LightbringerAbilities4Scenario0[[#This Row],[takes]]) &gt; 0,LightbringerAbilities4Scenario0[[#This Row],[takes]]/SUM(LightbringerAbilities4Scenario0[takes]),0)</f>
        <v>0</v>
      </c>
      <c r="O18" s="13">
        <f>IF(LightbringerAbilities4Scenario0[[#This Row],[takes]]&gt;0,LightbringerAbilities4Scenario0[[#This Row],[wins]]/LightbringerAbilities4Scenario0[[#This Row],[takes]],0)</f>
        <v>0</v>
      </c>
      <c r="P18" s="20"/>
      <c r="Q18" s="20"/>
      <c r="R18" s="20"/>
      <c r="S18" s="22"/>
      <c r="T18" s="20"/>
    </row>
    <row r="19" spans="1:20" x14ac:dyDescent="0.4">
      <c r="A19" s="2" t="s">
        <v>150</v>
      </c>
      <c r="B19" s="2">
        <f t="shared" ref="B19:B20" si="8">L19+L40+L61+L82+L103+L124</f>
        <v>31</v>
      </c>
      <c r="C19" s="2">
        <f t="shared" ref="C19:C20" si="9">M19+M40+M61+M82+M103+M124</f>
        <v>13</v>
      </c>
      <c r="D19" s="13">
        <f>IF(SUM(LightbringerAbilities4[[#This Row],[takes]]) &gt; 0,LightbringerAbilities4[[#This Row],[takes]]/SUM(LightbringerAbilities4[takes]),0)</f>
        <v>0.52542372881355937</v>
      </c>
      <c r="E19" s="13">
        <f>IF(LightbringerAbilities4[[#This Row],[takes]]&gt;0,LightbringerAbilities4[[#This Row],[wins]]/LightbringerAbilities4[[#This Row],[takes]],0)</f>
        <v>0.41935483870967744</v>
      </c>
      <c r="F19" s="20"/>
      <c r="G19" s="20"/>
      <c r="H19" s="20"/>
      <c r="I19" s="22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1</v>
      </c>
      <c r="N19" s="13">
        <f>IF(SUM(LightbringerAbilities4Scenario0[[#This Row],[takes]]) &gt; 0,LightbringerAbilities4Scenario0[[#This Row],[takes]]/SUM(LightbringerAbilities4Scenario0[takes]),0)</f>
        <v>0.5</v>
      </c>
      <c r="O19" s="13">
        <f>IF(LightbringerAbilities4Scenario0[[#This Row],[takes]]&gt;0,LightbringerAbilities4Scenario0[[#This Row],[wins]]/LightbringerAbilities4Scenario0[[#This Row],[takes]],0)</f>
        <v>1</v>
      </c>
      <c r="P19" s="20"/>
      <c r="Q19" s="20"/>
      <c r="R19" s="20"/>
      <c r="S19" s="22"/>
      <c r="T19" s="20"/>
    </row>
    <row r="20" spans="1:20" ht="15" thickBot="1" x14ac:dyDescent="0.45">
      <c r="A20" s="11" t="s">
        <v>151</v>
      </c>
      <c r="B20" s="2">
        <f t="shared" si="8"/>
        <v>11</v>
      </c>
      <c r="C20" s="2">
        <f t="shared" si="9"/>
        <v>4</v>
      </c>
      <c r="D20" s="30">
        <f>IF(SUM(LightbringerAbilities4[[#This Row],[takes]]) &gt; 0,LightbringerAbilities4[[#This Row],[takes]]/SUM(LightbringerAbilities4[takes]),0)</f>
        <v>0.1864406779661017</v>
      </c>
      <c r="E20" s="30">
        <f>IF(LightbringerAbilities4[[#This Row],[takes]]&gt;0,LightbringerAbilities4[[#This Row],[wins]]/LightbringerAbilities4[[#This Row],[takes]],0)</f>
        <v>0.36363636363636365</v>
      </c>
      <c r="F20" s="31"/>
      <c r="G20" s="31"/>
      <c r="H20" s="31"/>
      <c r="I20" s="32"/>
      <c r="K20" s="11" t="s">
        <v>151</v>
      </c>
      <c r="L20" s="29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20" s="29">
        <f>COUNTIF(Scenario0[winner1-ability4],LightbringerAbilities4Scenario0[[#This Row],[ability]])+COUNTIF(Scenario0[winner2-ability4],LightbringerAbilities4Scenario0[[#This Row],[ability]])</f>
        <v>1</v>
      </c>
      <c r="N20" s="30">
        <f>IF(SUM(LightbringerAbilities4Scenario0[[#This Row],[takes]]) &gt; 0,LightbringerAbilities4Scenario0[[#This Row],[takes]]/SUM(LightbringerAbilities4Scenario0[takes]),0)</f>
        <v>0.5</v>
      </c>
      <c r="O20" s="30">
        <f>IF(LightbringerAbilities4Scenario0[[#This Row],[takes]]&gt;0,LightbringerAbilities4Scenario0[[#This Row],[wins]]/LightbringerAbilities4Scenario0[[#This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1" t="s">
        <v>393</v>
      </c>
      <c r="L22" s="42"/>
      <c r="M22" s="42"/>
      <c r="N22" s="42"/>
      <c r="O22" s="42"/>
      <c r="P22" s="42"/>
      <c r="Q22" s="42"/>
      <c r="R22" s="42"/>
      <c r="S22" s="43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170</v>
      </c>
      <c r="S23" s="22" t="s">
        <v>164</v>
      </c>
      <c r="T23" s="20"/>
    </row>
    <row r="24" spans="1:20" x14ac:dyDescent="0.4">
      <c r="K24" t="s">
        <v>72</v>
      </c>
      <c r="L24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82</v>
      </c>
      <c r="M24" s="20">
        <f>COUNTIF(Scenario1[winner1-ability1],LightbringerAbilities1Scenario1[[#This Row],[ability]])+COUNTIF(Scenario1[winner2-ability1],LightbringerAbilities1Scenario1[[#This Row],[ability]])</f>
        <v>32</v>
      </c>
      <c r="N24" s="21">
        <f>IF(SUM(LightbringerAbilities1Scenario1[[#This Row],[takes]]) &gt; 0,LightbringerAbilities1Scenario1[[#This Row],[takes]]/SUM(LightbringerAbilities1Scenario1[takes]),0)</f>
        <v>0.78095238095238095</v>
      </c>
      <c r="O24" s="21">
        <f>IF(LightbringerAbilities1Scenario1[[#This Row],[takes]]&gt;0,LightbringerAbilities1Scenario1[[#This Row],[wins]]/LightbringerAbilities1Scenario1[[#This Row],[takes]],0)</f>
        <v>0.3902439024390244</v>
      </c>
      <c r="P24" s="20"/>
      <c r="Q24" s="20">
        <v>1</v>
      </c>
      <c r="R24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37</v>
      </c>
      <c r="S24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98</v>
      </c>
      <c r="T24" s="20"/>
    </row>
    <row r="25" spans="1:20" x14ac:dyDescent="0.4">
      <c r="K25" t="s">
        <v>145</v>
      </c>
      <c r="L25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 s="20">
        <f>COUNTIF(Scenario1[winner1-ability1],LightbringerAbilities1Scenario1[[#This Row],[ability]])+COUNTIF(Scenario1[winner2-ability1],LightbringerAbilities1Scenario1[[#This Row],[ability]])</f>
        <v>0</v>
      </c>
      <c r="N25" s="21">
        <f>IF(SUM(LightbringerAbilities1Scenario1[[#This Row],[takes]]) &gt; 0,LightbringerAbilities1Scenario1[[#This Row],[takes]]/SUM(LightbringerAbilities1Scenario1[takes]),0)</f>
        <v>0</v>
      </c>
      <c r="O25" s="21">
        <f>IF(LightbringerAbilities1Scenario1[[#This Row],[takes]]&gt;0,LightbringerAbilities1Scenario1[[#This Row],[wins]]/LightbringerAbilities1Scenario1[[#This Row],[takes]],0)</f>
        <v>0</v>
      </c>
      <c r="P25" s="20"/>
      <c r="Q25" s="20">
        <v>2</v>
      </c>
      <c r="R25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58</v>
      </c>
      <c r="S25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7</v>
      </c>
      <c r="T25" s="20"/>
    </row>
    <row r="26" spans="1:20" x14ac:dyDescent="0.4">
      <c r="K26" t="s">
        <v>103</v>
      </c>
      <c r="L26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23</v>
      </c>
      <c r="M26" s="20">
        <f>COUNTIF(Scenario1[winner1-ability1],LightbringerAbilities1Scenario1[[#This Row],[ability]])+COUNTIF(Scenario1[winner2-ability1],LightbringerAbilities1Scenario1[[#This Row],[ability]])</f>
        <v>14</v>
      </c>
      <c r="N26" s="21">
        <f>IF(SUM(LightbringerAbilities1Scenario1[[#This Row],[takes]]) &gt; 0,LightbringerAbilities1Scenario1[[#This Row],[takes]]/SUM(LightbringerAbilities1Scenario1[takes]),0)</f>
        <v>0.21904761904761905</v>
      </c>
      <c r="O26" s="21">
        <f>IF(LightbringerAbilities1Scenario1[[#This Row],[takes]]&gt;0,LightbringerAbilities1Scenario1[[#This Row],[wins]]/LightbringerAbilities1Scenario1[[#This Row],[takes]],0)</f>
        <v>0.60869565217391308</v>
      </c>
      <c r="P26" s="20"/>
      <c r="Q26" s="20">
        <v>3</v>
      </c>
      <c r="R26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10</v>
      </c>
      <c r="S26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</v>
      </c>
      <c r="M29" s="2">
        <f>COUNTIF(Scenario1[winner1-ability2],LightbringerAbilities2Scenario1[[#This Row],[ability]])+COUNTIF(Scenario1[winner2-ability2],LightbringerAbilities2Scenario1[[#This Row],[ability]])</f>
        <v>4</v>
      </c>
      <c r="N29" s="13">
        <f>IF(SUM(LightbringerAbilities2Scenario1[[#This Row],[takes]]) &gt; 0,LightbringerAbilities2Scenario1[[#This Row],[takes]]/SUM(LightbringerAbilities2Scenario1[takes]),0)</f>
        <v>0.3</v>
      </c>
      <c r="O29" s="13">
        <f>IF(LightbringerAbilities2Scenario1[[#This Row],[takes]]&gt;0,LightbringerAbilities2Scenario1[[#This Row],[wins]]/LightbringerAbilities2Scenario1[[#This Row],[takes]],0)</f>
        <v>0.66666666666666663</v>
      </c>
      <c r="P29" s="20"/>
      <c r="Q29" s="20"/>
      <c r="R29" s="20"/>
      <c r="S29" s="22"/>
      <c r="T29" s="20"/>
    </row>
    <row r="30" spans="1:20" x14ac:dyDescent="0.4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13</v>
      </c>
      <c r="M30" s="2">
        <f>COUNTIF(Scenario1[winner1-ability2],LightbringerAbilities2Scenario1[[#This Row],[ability]])+COUNTIF(Scenario1[winner2-ability2],LightbringerAbilities2Scenario1[[#This Row],[ability]])</f>
        <v>4</v>
      </c>
      <c r="N30" s="21">
        <f>IF(SUM(LightbringerAbilities2Scenario1[[#This Row],[takes]]) &gt; 0,LightbringerAbilities2Scenario1[[#This Row],[takes]]/SUM(LightbringerAbilities2Scenario1[takes]),0)</f>
        <v>0.65</v>
      </c>
      <c r="O30" s="21">
        <f>IF(LightbringerAbilities2Scenario1[[#This Row],[takes]]&gt;0,LightbringerAbilities2Scenario1[[#This Row],[wins]]/LightbringerAbilities2Scenario1[[#This Row],[takes]],0)</f>
        <v>0.30769230769230771</v>
      </c>
      <c r="P30" s="20"/>
      <c r="Q30" s="20"/>
      <c r="R30" s="20"/>
      <c r="S30" s="22"/>
      <c r="T30" s="20"/>
    </row>
    <row r="31" spans="1:20" x14ac:dyDescent="0.4">
      <c r="K31" s="11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4">
        <f>IF(SUM(LightbringerAbilities2Scenario1[[#This Row],[takes]]) &gt; 0,LightbringerAbilities2Scenario1[[#This Row],[takes]]/SUM(LightbringerAbilities2Scenario1[takes]),0)</f>
        <v>0.05</v>
      </c>
      <c r="O31" s="14">
        <f>IF(LightbringerAbilities2Scenario1[[#This Row],[takes]]&gt;0,LightbringerAbilities2Scenario1[[#This Row],[wins]]/LightbringerAbilities2Scenario1[[#This Row],[takes]],0)</f>
        <v>0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4" s="1">
        <f>COUNTIF(Scenario1[winner1-ability3],LightbringerAbilities3Scenario1[[#This Row],[ability]])+COUNTIF(Scenario1[winner2-ability3],LightbringerAbilities3Scenario1[[#This Row],[ability]])</f>
        <v>1</v>
      </c>
      <c r="N34" s="15">
        <f>IF(SUM(LightbringerAbilities3Scenario1[[#This Row],[takes]]) &gt; 0,LightbringerAbilities3Scenario1[[#This Row],[takes]]/SUM(LightbringerAbilities3Scenario1[takes]),0)</f>
        <v>0.5</v>
      </c>
      <c r="O34" s="15">
        <f>IF(LightbringerAbilities3Scenario1[[#This Row],[takes]]&gt;0,LightbringerAbilities3Scenario1[[#This Row],[wins]]/LightbringerAbilities3Scenario1[[#This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3">
        <f>IF(SUM(LightbringerAbilities3Scenario1[[#This Row],[takes]]) &gt; 0,LightbringerAbilities3Scenario1[[#This Row],[takes]]/SUM(LightbringerAbilities3Scenario1[takes]),0)</f>
        <v>0</v>
      </c>
      <c r="O35" s="13">
        <f>IF(LightbringerAbilities3Scenario1[[#This Row],[takes]]&gt;0,LightbringerAbilities3Scenario1[[#This Row],[wins]]/LightbringerAbilities3Scenario1[[#This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6">
        <f>IF(SUM(LightbringerAbilities3Scenario1[[#This Row],[takes]]) &gt; 0,LightbringerAbilities3Scenario1[[#This Row],[takes]]/SUM(LightbringerAbilities3Scenario1[takes]),0)</f>
        <v>0.5</v>
      </c>
      <c r="O36" s="16">
        <f>IF(LightbringerAbilities3Scenario1[[#This Row],[takes]]&gt;0,LightbringerAbilities3Scenario1[[#This Row],[wins]]/LightbringerAbilities3Scenario1[[#This Row],[takes]],0)</f>
        <v>0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39" s="2">
        <f>COUNTIF(Scenario1[winner1-ability4],LightbringerAbilities4Scenario1[[#This Row],[ability]])+COUNTIF(Scenario1[winner2-ability4],LightbringerAbilities4Scenario1[[#This Row],[ability]])</f>
        <v>1</v>
      </c>
      <c r="N39" s="13">
        <f>IF(SUM(LightbringerAbilities4Scenario1[[#This Row],[takes]]) &gt; 0,LightbringerAbilities4Scenario1[[#This Row],[takes]]/SUM(LightbringerAbilities4Scenario1[takes]),0)</f>
        <v>1</v>
      </c>
      <c r="O39" s="13">
        <f>IF(LightbringerAbilities4Scenario1[[#This Row],[takes]]&gt;0,LightbringerAbilities4Scenario1[[#This Row],[wins]]/LightbringerAbilities4Scenario1[[#This Row],[takes]],0)</f>
        <v>1</v>
      </c>
      <c r="P39" s="20"/>
      <c r="Q39" s="20"/>
      <c r="R39" s="20"/>
      <c r="S39" s="22"/>
      <c r="T39" s="20"/>
    </row>
    <row r="40" spans="11:20" x14ac:dyDescent="0.4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3">
        <f>IF(SUM(LightbringerAbilities4Scenario1[[#This Row],[takes]]) &gt; 0,LightbringerAbilities4Scenario1[[#This Row],[takes]]/SUM(LightbringerAbilities4Scenario1[takes]),0)</f>
        <v>0</v>
      </c>
      <c r="O40" s="13">
        <f>IF(LightbringerAbilities4Scenario1[[#This Row],[takes]]&gt;0,LightbringerAbilities4Scenario1[[#This Row],[wins]]/LightbringerAbilities4Scenario1[[#This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151</v>
      </c>
      <c r="L41" s="29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9">
        <f>COUNTIF(Scenario1[winner1-ability4],LightbringerAbilities4Scenario1[[#This Row],[ability]])+COUNTIF(Scenario1[winner2-ability4],LightbringerAbilities4Scenario1[[#This Row],[ability]])</f>
        <v>0</v>
      </c>
      <c r="N41" s="30">
        <f>IF(SUM(LightbringerAbilities4Scenario1[[#This Row],[takes]]) &gt; 0,LightbringerAbilities4Scenario1[[#This Row],[takes]]/SUM(LightbringerAbilities4Scenario1[takes]),0)</f>
        <v>0</v>
      </c>
      <c r="O41" s="30">
        <f>IF(LightbringerAbilities4Scenario1[[#This Row],[takes]]&gt;0,LightbringerAbilities4Scenario1[[#This Row],[wins]]/LightbringerAbilities4Scenario1[[#This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1" t="s">
        <v>394</v>
      </c>
      <c r="L43" s="42"/>
      <c r="M43" s="42"/>
      <c r="N43" s="42"/>
      <c r="O43" s="42"/>
      <c r="P43" s="42"/>
      <c r="Q43" s="42"/>
      <c r="R43" s="42"/>
      <c r="S43" s="43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170</v>
      </c>
      <c r="S44" s="22" t="s">
        <v>164</v>
      </c>
    </row>
    <row r="45" spans="11:20" x14ac:dyDescent="0.4">
      <c r="K45" t="s">
        <v>72</v>
      </c>
      <c r="L45" s="20">
        <f>COUNTIF(Scenario2[winner1-ability1],LightbringerAbilities1Scenario2[[#This Row],[ability]])+COUNTIF(Scenario2[loser1-ability1],LightbringerAbilities1Scenario2[[#This Row],[ability]])</f>
        <v>7</v>
      </c>
      <c r="M45" s="20">
        <f>COUNTIF(Scenario2[winner1-ability1],LightbringerAbilities1Scenario2[[#This Row],[ability]])</f>
        <v>4</v>
      </c>
      <c r="N45" s="21">
        <f>IF(SUM(LightbringerAbilities1Scenario2[[#This Row],[takes]]) &gt; 0,LightbringerAbilities1Scenario2[[#This Row],[takes]]/SUM(LightbringerAbilities1Scenario2[takes]),0)</f>
        <v>0.5</v>
      </c>
      <c r="O45" s="21">
        <f>IF(LightbringerAbilities1Scenario2[[#This Row],[takes]]&gt;0,LightbringerAbilities1Scenario2[[#This Row],[wins]]/LightbringerAbilities1Scenario2[[#This Row],[takes]],0)</f>
        <v>0.5714285714285714</v>
      </c>
      <c r="P45" s="20"/>
      <c r="Q45" s="20">
        <v>1</v>
      </c>
      <c r="R45" s="20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5" s="22">
        <f>COUNTIFS(Scenario2[winner1],"lightbringer",Scenario2[winner1-cp],LightbringerEquipScenario2[[#This Row],[level]])+COUNTIFS(Scenario2[loser1],"lightbringer",Scenario2[loser1-cp],LightbringerEquipScenario2[[#This Row],[level]])</f>
        <v>10</v>
      </c>
    </row>
    <row r="46" spans="11:20" x14ac:dyDescent="0.4">
      <c r="K46" t="s">
        <v>145</v>
      </c>
      <c r="L46" s="20">
        <f>COUNTIF(Scenario2[winner1-ability1],LightbringerAbilities1Scenario2[[#This Row],[ability]])+COUNTIF(Scenario2[loser1-ability1],LightbringerAbilities1Scenario2[[#This Row],[ability]])</f>
        <v>1</v>
      </c>
      <c r="M46" s="20">
        <f>COUNTIF(Scenario2[winner1-ability1],LightbringerAbilities1Scenario2[[#This Row],[ability]])</f>
        <v>1</v>
      </c>
      <c r="N46" s="21">
        <f>IF(SUM(LightbringerAbilities1Scenario2[[#This Row],[takes]]) &gt; 0,LightbringerAbilities1Scenario2[[#This Row],[takes]]/SUM(LightbringerAbilities1Scenario2[takes]),0)</f>
        <v>7.1428571428571425E-2</v>
      </c>
      <c r="O46" s="21">
        <f>IF(LightbringerAbilities1Scenario2[[#This Row],[takes]]&gt;0,LightbringerAbilities1Scenario2[[#This Row],[wins]]/LightbringerAbilities1Scenario2[[#This Row],[takes]],0)</f>
        <v>1</v>
      </c>
      <c r="P46" s="20"/>
      <c r="Q46" s="20">
        <v>2</v>
      </c>
      <c r="R46" s="20">
        <f>COUNTIFS(Scenario2[winner1],"lightbringer",Scenario2[winner1-pw],LightbringerEquipScenario2[[#This Row],[level]])+COUNTIFS(Scenario2[loser1],"lightbringer",Scenario2[loser1-pw],LightbringerEquipScenario2[[#This Row],[level]])</f>
        <v>2</v>
      </c>
      <c r="S46" s="22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4">
      <c r="K47" t="s">
        <v>103</v>
      </c>
      <c r="L47" s="20">
        <f>COUNTIF(Scenario2[winner1-ability1],LightbringerAbilities1Scenario2[[#This Row],[ability]])+COUNTIF(Scenario2[loser1-ability1],LightbringerAbilities1Scenario2[[#This Row],[ability]])</f>
        <v>6</v>
      </c>
      <c r="M47" s="20">
        <f>COUNTIF(Scenario2[winner1-ability1],LightbringerAbilities1Scenario2[[#This Row],[ability]])</f>
        <v>3</v>
      </c>
      <c r="N47" s="21">
        <f>IF(SUM(LightbringerAbilities1Scenario2[[#This Row],[takes]]) &gt; 0,LightbringerAbilities1Scenario2[[#This Row],[takes]]/SUM(LightbringerAbilities1Scenario2[takes]),0)</f>
        <v>0.42857142857142855</v>
      </c>
      <c r="O47" s="21">
        <f>IF(LightbringerAbilities1Scenario2[[#This Row],[takes]]&gt;0,LightbringerAbilities1Scenario2[[#This Row],[wins]]/LightbringerAbilities1Scenario2[[#This Row],[takes]],0)</f>
        <v>0.5</v>
      </c>
      <c r="P47" s="20"/>
      <c r="Q47" s="20">
        <v>3</v>
      </c>
      <c r="R47" s="20">
        <f>COUNTIFS(Scenario2[winner1],"lightbringer",Scenario2[winner1-pw],LightbringerEquipScenario2[[#This Row],[level]])+COUNTIFS(Scenario2[loser1],"lightbringer",Scenario2[loser1-pw],LightbringerEquipScenario2[[#This Row],[level]])</f>
        <v>5</v>
      </c>
      <c r="S47" s="22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4</v>
      </c>
      <c r="M50" s="2">
        <f>COUNTIF(Scenario2[winner1-ability2],LightbringerAbilities2Scenario2[[#This Row],[ability]])</f>
        <v>2</v>
      </c>
      <c r="N50" s="13">
        <f>IF(SUM(LightbringerAbilities2Scenario2[[#This Row],[takes]]) &gt; 0,LightbringerAbilities2Scenario2[[#This Row],[takes]]/SUM(LightbringerAbilities2Scenario2[takes]),0)</f>
        <v>0.33333333333333331</v>
      </c>
      <c r="O50" s="13">
        <f>IF(LightbringerAbilities2Scenario2[[#This Row],[takes]]&gt;0,LightbringerAbilities2Scenario2[[#This Row],[wins]]/LightbringerAbilities2Scenario2[[#This Row],[takes]],0)</f>
        <v>0.5</v>
      </c>
      <c r="P50" s="20"/>
      <c r="Q50" s="20"/>
      <c r="R50" s="20"/>
      <c r="S50" s="22"/>
      <c r="T50" s="20"/>
    </row>
    <row r="51" spans="11:20" x14ac:dyDescent="0.4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8</v>
      </c>
      <c r="M51" s="2">
        <f>COUNTIF(Scenario2[winner1-ability2],LightbringerAbilities2Scenario2[[#This Row],[ability]])</f>
        <v>5</v>
      </c>
      <c r="N51" s="21">
        <f>IF(SUM(LightbringerAbilities2Scenario2[[#This Row],[takes]]) &gt; 0,LightbringerAbilities2Scenario2[[#This Row],[takes]]/SUM(LightbringerAbilities2Scenario2[takes]),0)</f>
        <v>0.66666666666666663</v>
      </c>
      <c r="O51" s="21">
        <f>IF(LightbringerAbilities2Scenario2[[#This Row],[takes]]&gt;0,LightbringerAbilities2Scenario2[[#This Row],[wins]]/LightbringerAbilities2Scenario2[[#This Row],[takes]],0)</f>
        <v>0.625</v>
      </c>
      <c r="P51" s="20"/>
      <c r="Q51" s="20"/>
      <c r="R51" s="20"/>
      <c r="S51" s="22"/>
      <c r="T51" s="20"/>
    </row>
    <row r="52" spans="11:20" x14ac:dyDescent="0.4">
      <c r="K52" s="11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4">
        <f>IF(SUM(LightbringerAbilities2Scenario2[[#This Row],[takes]]) &gt; 0,LightbringerAbilities2Scenario2[[#This Row],[takes]]/SUM(LightbringerAbilities2Scenario2[takes]),0)</f>
        <v>0</v>
      </c>
      <c r="O52" s="14">
        <f>IF(LightbringerAbilities2Scenario2[[#This Row],[takes]]&gt;0,LightbringerAbilities2Scenario2[[#This Row],[wins]]/LightbringerAbilities2Scenario2[[#This Row],[takes]],0)</f>
        <v>0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4</v>
      </c>
      <c r="M55" s="1">
        <f>COUNTIF(Scenario2[winner1-ability3],LightbringerAbilities3Scenario2[[#This Row],[ability]])</f>
        <v>2</v>
      </c>
      <c r="N55" s="15">
        <f>IF(SUM(LightbringerAbilities3Scenario2[[#This Row],[takes]]) &gt; 0,LightbringerAbilities3Scenario2[[#This Row],[takes]]/SUM(LightbringerAbilities3Scenario2[takes]),0)</f>
        <v>0.36363636363636365</v>
      </c>
      <c r="O55" s="15">
        <f>IF(LightbringerAbilities3Scenario2[[#This Row],[takes]]&gt;0,LightbringerAbilities3Scenario2[[#This Row],[wins]]/LightbringerAbilities3Scenario2[[#This Row],[takes]],0)</f>
        <v>0.5</v>
      </c>
      <c r="P55" s="20"/>
      <c r="Q55" s="20"/>
      <c r="R55" s="20"/>
      <c r="S55" s="22"/>
      <c r="T55" s="20"/>
    </row>
    <row r="56" spans="11:20" x14ac:dyDescent="0.4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4</v>
      </c>
      <c r="M56" s="2">
        <f>COUNTIF(Scenario2[winner1-ability3],LightbringerAbilities3Scenario2[[#This Row],[ability]])</f>
        <v>2</v>
      </c>
      <c r="N56" s="13">
        <f>IF(SUM(LightbringerAbilities3Scenario2[[#This Row],[takes]]) &gt; 0,LightbringerAbilities3Scenario2[[#This Row],[takes]]/SUM(LightbringerAbilities3Scenario2[takes]),0)</f>
        <v>0.36363636363636365</v>
      </c>
      <c r="O56" s="13">
        <f>IF(LightbringerAbilities3Scenario2[[#This Row],[takes]]&gt;0,LightbringerAbilities3Scenario2[[#This Row],[wins]]/LightbringerAbilities3Scenario2[[#This Row],[takes]],0)</f>
        <v>0.5</v>
      </c>
      <c r="P56" s="20"/>
      <c r="Q56" s="20"/>
      <c r="R56" s="20"/>
      <c r="S56" s="22"/>
      <c r="T56" s="20"/>
    </row>
    <row r="57" spans="11:20" x14ac:dyDescent="0.4">
      <c r="K57" s="12" t="s">
        <v>148</v>
      </c>
      <c r="L57" s="1">
        <f>COUNTIF(Scenario2[winner1-ability3],LightbringerAbilities3Scenario2[[#This Row],[ability]])+COUNTIF(Scenario2[loser1-ability3],LightbringerAbilities3Scenario2[[#This Row],[ability]])</f>
        <v>3</v>
      </c>
      <c r="M57" s="1">
        <f>COUNTIF(Scenario2[winner1-ability3],LightbringerAbilities3Scenario2[[#This Row],[ability]])</f>
        <v>2</v>
      </c>
      <c r="N57" s="16">
        <f>IF(SUM(LightbringerAbilities3Scenario2[[#This Row],[takes]]) &gt; 0,LightbringerAbilities3Scenario2[[#This Row],[takes]]/SUM(LightbringerAbilities3Scenario2[takes]),0)</f>
        <v>0.27272727272727271</v>
      </c>
      <c r="O57" s="16">
        <f>IF(LightbringerAbilities3Scenario2[[#This Row],[takes]]&gt;0,LightbringerAbilities3Scenario2[[#This Row],[wins]]/LightbringerAbilities3Scenario2[[#This Row],[takes]],0)</f>
        <v>0.66666666666666663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5</v>
      </c>
      <c r="M60" s="2">
        <f>COUNTIF(Scenario2[winner1-ability4],LightbringerAbilities4Scenario2[[#This Row],[ability]])</f>
        <v>4</v>
      </c>
      <c r="N60" s="13">
        <f>IF(SUM(LightbringerAbilities4Scenario2[[#This Row],[takes]]) &gt; 0,LightbringerAbilities4Scenario2[[#This Row],[takes]]/SUM(LightbringerAbilities4Scenario2[takes]),0)</f>
        <v>0.83333333333333337</v>
      </c>
      <c r="O60" s="13">
        <f>IF(LightbringerAbilities4Scenario2[[#This Row],[takes]]&gt;0,LightbringerAbilities4Scenario2[[#This Row],[wins]]/LightbringerAbilities4Scenario2[[#This Row],[takes]],0)</f>
        <v>0.8</v>
      </c>
      <c r="P60" s="20"/>
      <c r="Q60" s="20"/>
      <c r="R60" s="20"/>
      <c r="S60" s="22"/>
      <c r="T60" s="20"/>
    </row>
    <row r="61" spans="11:20" x14ac:dyDescent="0.4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0</v>
      </c>
      <c r="M61" s="2">
        <f>COUNTIF(Scenario2[winner1-ability4],LightbringerAbilities4Scenario2[[#This Row],[ability]])</f>
        <v>0</v>
      </c>
      <c r="N61" s="13">
        <f>IF(SUM(LightbringerAbilities4Scenario2[[#This Row],[takes]]) &gt; 0,LightbringerAbilities4Scenario2[[#This Row],[takes]]/SUM(LightbringerAbilities4Scenario2[takes]),0)</f>
        <v>0</v>
      </c>
      <c r="O61" s="13">
        <f>IF(LightbringerAbilities4Scenario2[[#This Row],[takes]]&gt;0,LightbringerAbilities4Scenario2[[#This Row],[wins]]/LightbringerAbilities4Scenario2[[#This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151</v>
      </c>
      <c r="L62" s="29">
        <f>COUNTIF(Scenario2[winner1-ability4],LightbringerAbilities4Scenario2[[#This Row],[ability]])+COUNTIF(Scenario2[loser1-ability4],LightbringerAbilities4Scenario2[[#This Row],[ability]])</f>
        <v>1</v>
      </c>
      <c r="M62" s="29">
        <f>COUNTIF(Scenario2[winner1-ability4],LightbringerAbilities4Scenario2[[#This Row],[ability]])</f>
        <v>0</v>
      </c>
      <c r="N62" s="30">
        <f>IF(SUM(LightbringerAbilities4Scenario2[[#This Row],[takes]]) &gt; 0,LightbringerAbilities4Scenario2[[#This Row],[takes]]/SUM(LightbringerAbilities4Scenario2[takes]),0)</f>
        <v>0.16666666666666666</v>
      </c>
      <c r="O62" s="30">
        <f>IF(LightbringerAbilities4Scenario2[[#This Row],[takes]]&gt;0,LightbringerAbilities4Scenario2[[#This Row],[wins]]/LightbringerAbilities4Scenario2[[#This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1" t="s">
        <v>686</v>
      </c>
      <c r="L64" s="42"/>
      <c r="M64" s="42"/>
      <c r="N64" s="42"/>
      <c r="O64" s="42"/>
      <c r="P64" s="42"/>
      <c r="Q64" s="42"/>
      <c r="R64" s="42"/>
      <c r="S64" s="43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170</v>
      </c>
      <c r="S65" s="22" t="s">
        <v>164</v>
      </c>
    </row>
    <row r="66" spans="11:19" x14ac:dyDescent="0.4">
      <c r="K66" t="s">
        <v>72</v>
      </c>
      <c r="L66" s="20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15</v>
      </c>
      <c r="M66" s="20">
        <f>COUNTIF(Scenario3[winner1-ability1],LightbringerAbilities1Scenario3[[#This Row],[ability]])</f>
        <v>6</v>
      </c>
      <c r="N66" s="21">
        <f>IF(SUM(LightbringerAbilities1Scenario3[[#This Row],[takes]]) &gt; 0,LightbringerAbilities1Scenario3[[#This Row],[takes]]/SUM(LightbringerAbilities1Scenario3[takes]),0)</f>
        <v>0.7142857142857143</v>
      </c>
      <c r="O66" s="21">
        <f>IF(LightbringerAbilities1Scenario3[[#This Row],[takes]]&gt;0,LightbringerAbilities1Scenario3[[#This Row],[wins]]/LightbringerAbilities1Scenario3[[#This Row],[takes]],0)</f>
        <v>0.4</v>
      </c>
      <c r="P66" s="20"/>
      <c r="Q66" s="20">
        <v>1</v>
      </c>
      <c r="R66" s="20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</v>
      </c>
      <c r="S66" s="22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2</v>
      </c>
    </row>
    <row r="67" spans="11:19" x14ac:dyDescent="0.4">
      <c r="K67" t="s">
        <v>145</v>
      </c>
      <c r="L67" s="20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3</v>
      </c>
      <c r="M67" s="20">
        <f>COUNTIF(Scenario3[winner1-ability1],LightbringerAbilities1Scenario3[[#This Row],[ability]])</f>
        <v>2</v>
      </c>
      <c r="N67" s="21">
        <f>IF(SUM(LightbringerAbilities1Scenario3[[#This Row],[takes]]) &gt; 0,LightbringerAbilities1Scenario3[[#This Row],[takes]]/SUM(LightbringerAbilities1Scenario3[takes]),0)</f>
        <v>0.14285714285714285</v>
      </c>
      <c r="O67" s="21">
        <f>IF(LightbringerAbilities1Scenario3[[#This Row],[takes]]&gt;0,LightbringerAbilities1Scenario3[[#This Row],[wins]]/LightbringerAbilities1Scenario3[[#This Row],[takes]],0)</f>
        <v>0.66666666666666663</v>
      </c>
      <c r="P67" s="20"/>
      <c r="Q67" s="20">
        <v>2</v>
      </c>
      <c r="R67" s="20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22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8" spans="11:19" x14ac:dyDescent="0.4">
      <c r="K68" t="s">
        <v>103</v>
      </c>
      <c r="L68" s="20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3</v>
      </c>
      <c r="M68" s="20">
        <f>COUNTIF(Scenario3[winner1-ability1],LightbringerAbilities1Scenario3[[#This Row],[ability]])</f>
        <v>2</v>
      </c>
      <c r="N68" s="21">
        <f>IF(SUM(LightbringerAbilities1Scenario3[[#This Row],[takes]]) &gt; 0,LightbringerAbilities1Scenario3[[#This Row],[takes]]/SUM(LightbringerAbilities1Scenario3[takes]),0)</f>
        <v>0.14285714285714285</v>
      </c>
      <c r="O68" s="21">
        <f>IF(LightbringerAbilities1Scenario3[[#This Row],[takes]]&gt;0,LightbringerAbilities1Scenario3[[#This Row],[wins]]/LightbringerAbilities1Scenario3[[#This Row],[takes]],0)</f>
        <v>0.66666666666666663</v>
      </c>
      <c r="P68" s="20"/>
      <c r="Q68" s="20">
        <v>3</v>
      </c>
      <c r="R68" s="20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17</v>
      </c>
      <c r="S68" s="22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15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6</v>
      </c>
      <c r="M71" s="2">
        <f>COUNTIF(Scenario3[winner1-ability2],LightbringerAbilities2Scenario3[[#This Row],[ability]])</f>
        <v>2</v>
      </c>
      <c r="N71" s="13">
        <f>IF(SUM(LightbringerAbilities2Scenario3[[#This Row],[takes]]) &gt; 0,LightbringerAbilities2Scenario3[[#This Row],[takes]]/SUM(LightbringerAbilities2Scenario3[takes]),0)</f>
        <v>0.2857142857142857</v>
      </c>
      <c r="O71" s="13">
        <f>IF(LightbringerAbilities2Scenario3[[#This Row],[takes]]&gt;0,LightbringerAbilities2Scenario3[[#This Row],[wins]]/LightbringerAbilities2Scenario3[[#This Row],[takes]],0)</f>
        <v>0.33333333333333331</v>
      </c>
      <c r="P71" s="20"/>
      <c r="Q71" s="20"/>
      <c r="R71" s="20"/>
      <c r="S71" s="22"/>
    </row>
    <row r="72" spans="11:19" x14ac:dyDescent="0.4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15</v>
      </c>
      <c r="M72" s="2">
        <f>COUNTIF(Scenario3[winner1-ability2],LightbringerAbilities2Scenario3[[#This Row],[ability]])</f>
        <v>8</v>
      </c>
      <c r="N72" s="21">
        <f>IF(SUM(LightbringerAbilities2Scenario3[[#This Row],[takes]]) &gt; 0,LightbringerAbilities2Scenario3[[#This Row],[takes]]/SUM(LightbringerAbilities2Scenario3[takes]),0)</f>
        <v>0.7142857142857143</v>
      </c>
      <c r="O72" s="21">
        <f>IF(LightbringerAbilities2Scenario3[[#This Row],[takes]]&gt;0,LightbringerAbilities2Scenario3[[#This Row],[wins]]/LightbringerAbilities2Scenario3[[#This Row],[takes]],0)</f>
        <v>0.53333333333333333</v>
      </c>
      <c r="P72" s="20"/>
      <c r="Q72" s="20"/>
      <c r="R72" s="20"/>
      <c r="S72" s="22"/>
    </row>
    <row r="73" spans="11:19" x14ac:dyDescent="0.4">
      <c r="K73" s="11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4">
        <f>IF(SUM(LightbringerAbilities2Scenario3[[#This Row],[takes]]) &gt; 0,LightbringerAbilities2Scenario3[[#This Row],[takes]]/SUM(LightbringerAbilities2Scenario3[takes]),0)</f>
        <v>0</v>
      </c>
      <c r="O73" s="14">
        <f>IF(LightbringerAbilities2Scenario3[[#This Row],[takes]]&gt;0,LightbringerAbilities2Scenario3[[#This Row],[wins]]/LightbringerAbilities2Scenario3[[#This Row],[takes]],0)</f>
        <v>0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6" s="1">
        <f>COUNTIF(Scenario3[winner1-ability3],LightbringerAbilities3Scenario3[[#This Row],[ability]])</f>
        <v>3</v>
      </c>
      <c r="N76" s="15">
        <f>IF(SUM(LightbringerAbilities3Scenario3[[#This Row],[takes]]) &gt; 0,LightbringerAbilities3Scenario3[[#This Row],[takes]]/SUM(LightbringerAbilities3Scenario3[takes]),0)</f>
        <v>0.2</v>
      </c>
      <c r="O76" s="15">
        <f>IF(LightbringerAbilities3Scenario3[[#This Row],[takes]]&gt;0,LightbringerAbilities3Scenario3[[#This Row],[wins]]/LightbringerAbilities3Scenario3[[#This Row],[takes]],0)</f>
        <v>0.75</v>
      </c>
      <c r="P76" s="20"/>
      <c r="Q76" s="20"/>
      <c r="R76" s="20"/>
      <c r="S76" s="22"/>
    </row>
    <row r="77" spans="11:19" x14ac:dyDescent="0.4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7" s="2">
        <f>COUNTIF(Scenario3[winner1-ability3],LightbringerAbilities3Scenario3[[#This Row],[ability]])</f>
        <v>2</v>
      </c>
      <c r="N77" s="13">
        <f>IF(SUM(LightbringerAbilities3Scenario3[[#This Row],[takes]]) &gt; 0,LightbringerAbilities3Scenario3[[#This Row],[takes]]/SUM(LightbringerAbilities3Scenario3[takes]),0)</f>
        <v>0.2</v>
      </c>
      <c r="O77" s="13">
        <f>IF(LightbringerAbilities3Scenario3[[#This Row],[takes]]&gt;0,LightbringerAbilities3Scenario3[[#This Row],[wins]]/LightbringerAbilities3Scenario3[[#This Row],[takes]],0)</f>
        <v>0.5</v>
      </c>
      <c r="P77" s="20"/>
      <c r="Q77" s="20"/>
      <c r="R77" s="20"/>
      <c r="S77" s="22"/>
    </row>
    <row r="78" spans="11:19" x14ac:dyDescent="0.4">
      <c r="K78" s="12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12</v>
      </c>
      <c r="M78" s="1">
        <f>COUNTIF(Scenario3[winner1-ability3],LightbringerAbilities3Scenario3[[#This Row],[ability]])</f>
        <v>5</v>
      </c>
      <c r="N78" s="16">
        <f>IF(SUM(LightbringerAbilities3Scenario3[[#This Row],[takes]]) &gt; 0,LightbringerAbilities3Scenario3[[#This Row],[takes]]/SUM(LightbringerAbilities3Scenario3[takes]),0)</f>
        <v>0.6</v>
      </c>
      <c r="O78" s="16">
        <f>IF(LightbringerAbilities3Scenario3[[#This Row],[takes]]&gt;0,LightbringerAbilities3Scenario3[[#This Row],[wins]]/LightbringerAbilities3Scenario3[[#This Row],[takes]],0)</f>
        <v>0.41666666666666669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1" s="2">
        <f>COUNTIF(Scenario3[winner1-ability4],LightbringerAbilities4Scenario3[[#This Row],[ability]])</f>
        <v>2</v>
      </c>
      <c r="N81" s="13">
        <f>IF(SUM(LightbringerAbilities4Scenario3[[#This Row],[takes]]) &gt; 0,LightbringerAbilities4Scenario3[[#This Row],[takes]]/SUM(LightbringerAbilities4Scenario3[takes]),0)</f>
        <v>0.27777777777777779</v>
      </c>
      <c r="O81" s="13">
        <f>IF(LightbringerAbilities4Scenario3[[#This Row],[takes]]&gt;0,LightbringerAbilities4Scenario3[[#This Row],[wins]]/LightbringerAbilities4Scenario3[[#This Row],[takes]],0)</f>
        <v>0.4</v>
      </c>
      <c r="P81" s="20"/>
      <c r="Q81" s="20"/>
      <c r="R81" s="20"/>
      <c r="S81" s="22"/>
    </row>
    <row r="82" spans="11:19" x14ac:dyDescent="0.4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10</v>
      </c>
      <c r="M82" s="2">
        <f>COUNTIF(Scenario3[winner1-ability4],LightbringerAbilities4Scenario3[[#This Row],[ability]])</f>
        <v>5</v>
      </c>
      <c r="N82" s="13">
        <f>IF(SUM(LightbringerAbilities4Scenario3[[#This Row],[takes]]) &gt; 0,LightbringerAbilities4Scenario3[[#This Row],[takes]]/SUM(LightbringerAbilities4Scenario3[takes]),0)</f>
        <v>0.55555555555555558</v>
      </c>
      <c r="O82" s="13">
        <f>IF(LightbringerAbilities4Scenario3[[#This Row],[takes]]&gt;0,LightbringerAbilities4Scenario3[[#This Row],[wins]]/LightbringerAbilities4Scenario3[[#This Row],[takes]],0)</f>
        <v>0.5</v>
      </c>
      <c r="P82" s="20"/>
      <c r="Q82" s="20"/>
      <c r="R82" s="20"/>
      <c r="S82" s="22"/>
    </row>
    <row r="83" spans="11:19" ht="15" thickBot="1" x14ac:dyDescent="0.45">
      <c r="K83" s="11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3" s="2">
        <f>COUNTIF(Scenario3[winner1-ability4],LightbringerAbilities4Scenario3[[#This Row],[ability]])</f>
        <v>2</v>
      </c>
      <c r="N83" s="30">
        <f>IF(SUM(LightbringerAbilities4Scenario3[[#This Row],[takes]]) &gt; 0,LightbringerAbilities4Scenario3[[#This Row],[takes]]/SUM(LightbringerAbilities4Scenario3[takes]),0)</f>
        <v>0.16666666666666666</v>
      </c>
      <c r="O83" s="30">
        <f>IF(LightbringerAbilities4Scenario3[[#This Row],[takes]]&gt;0,LightbringerAbilities4Scenario3[[#This Row],[wins]]/LightbringerAbilities4Scenario3[[#This Row],[takes]],0)</f>
        <v>0.66666666666666663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1" t="s">
        <v>752</v>
      </c>
      <c r="L85" s="42"/>
      <c r="M85" s="42"/>
      <c r="N85" s="42"/>
      <c r="O85" s="42"/>
      <c r="P85" s="42"/>
      <c r="Q85" s="42"/>
      <c r="R85" s="42"/>
      <c r="S85" s="43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170</v>
      </c>
      <c r="S86" s="22" t="s">
        <v>164</v>
      </c>
    </row>
    <row r="87" spans="11:19" x14ac:dyDescent="0.4">
      <c r="K87" t="s">
        <v>72</v>
      </c>
      <c r="L87" s="20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26</v>
      </c>
      <c r="M87" s="20">
        <f>COUNTIF(Scenario4[winner1-ability1],LightbringerAbilities1Scenario4[[#This Row],[ability]])</f>
        <v>7</v>
      </c>
      <c r="N87" s="21">
        <f>IF(SUM(LightbringerAbilities1Scenario4[[#This Row],[takes]]) &gt; 0,LightbringerAbilities1Scenario4[[#This Row],[takes]]/SUM(LightbringerAbilities1Scenario4[takes]),0)</f>
        <v>0.74285714285714288</v>
      </c>
      <c r="O87" s="21">
        <f>IF(LightbringerAbilities1Scenario4[[#This Row],[takes]]&gt;0,LightbringerAbilities1Scenario4[[#This Row],[wins]]/LightbringerAbilities1Scenario4[[#This Row],[takes]],0)</f>
        <v>0.26923076923076922</v>
      </c>
      <c r="P87" s="20"/>
      <c r="Q87" s="20">
        <v>1</v>
      </c>
      <c r="R87" s="20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5</v>
      </c>
      <c r="S87" s="22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8" spans="11:19" x14ac:dyDescent="0.4">
      <c r="K88" t="s">
        <v>145</v>
      </c>
      <c r="L88" s="20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7</v>
      </c>
      <c r="M88" s="20">
        <f>COUNTIF(Scenario4[winner1-ability1],LightbringerAbilities1Scenario4[[#This Row],[ability]])</f>
        <v>2</v>
      </c>
      <c r="N88" s="21">
        <f>IF(SUM(LightbringerAbilities1Scenario4[[#This Row],[takes]]) &gt; 0,LightbringerAbilities1Scenario4[[#This Row],[takes]]/SUM(LightbringerAbilities1Scenario4[takes]),0)</f>
        <v>0.2</v>
      </c>
      <c r="O88" s="21">
        <f>IF(LightbringerAbilities1Scenario4[[#This Row],[takes]]&gt;0,LightbringerAbilities1Scenario4[[#This Row],[wins]]/LightbringerAbilities1Scenario4[[#This Row],[takes]],0)</f>
        <v>0.2857142857142857</v>
      </c>
      <c r="P88" s="20"/>
      <c r="Q88" s="20">
        <v>2</v>
      </c>
      <c r="R88" s="20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</v>
      </c>
      <c r="S88" s="22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</v>
      </c>
    </row>
    <row r="89" spans="11:19" x14ac:dyDescent="0.4">
      <c r="K89" t="s">
        <v>103</v>
      </c>
      <c r="L89" s="20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</v>
      </c>
      <c r="M89" s="20">
        <f>COUNTIF(Scenario4[winner1-ability1],LightbringerAbilities1Scenario4[[#This Row],[ability]])</f>
        <v>2</v>
      </c>
      <c r="N89" s="21">
        <f>IF(SUM(LightbringerAbilities1Scenario4[[#This Row],[takes]]) &gt; 0,LightbringerAbilities1Scenario4[[#This Row],[takes]]/SUM(LightbringerAbilities1Scenario4[takes]),0)</f>
        <v>5.7142857142857141E-2</v>
      </c>
      <c r="O89" s="21">
        <f>IF(LightbringerAbilities1Scenario4[[#This Row],[takes]]&gt;0,LightbringerAbilities1Scenario4[[#This Row],[wins]]/LightbringerAbilities1Scenario4[[#This Row],[takes]],0)</f>
        <v>1</v>
      </c>
      <c r="P89" s="20"/>
      <c r="Q89" s="20">
        <v>3</v>
      </c>
      <c r="R89" s="20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28</v>
      </c>
      <c r="S89" s="22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30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6</v>
      </c>
      <c r="M92" s="2">
        <f>COUNTIF(Scenario4[winner1-ability2],LightbringerAbilities2Scenario4[[#This Row],[ability]])</f>
        <v>2</v>
      </c>
      <c r="N92" s="13">
        <f>IF(SUM(LightbringerAbilities2Scenario4[[#This Row],[takes]]) &gt; 0,LightbringerAbilities2Scenario4[[#This Row],[takes]]/SUM(LightbringerAbilities2Scenario4[takes]),0)</f>
        <v>0.17142857142857143</v>
      </c>
      <c r="O92" s="13">
        <f>IF(LightbringerAbilities2Scenario4[[#This Row],[takes]]&gt;0,LightbringerAbilities2Scenario4[[#This Row],[wins]]/LightbringerAbilities2Scenario4[[#This Row],[takes]],0)</f>
        <v>0.33333333333333331</v>
      </c>
      <c r="P92" s="20"/>
      <c r="Q92" s="20"/>
      <c r="R92" s="20"/>
      <c r="S92" s="22"/>
    </row>
    <row r="93" spans="11:19" x14ac:dyDescent="0.4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29</v>
      </c>
      <c r="M93" s="2">
        <f>COUNTIF(Scenario4[winner1-ability2],LightbringerAbilities2Scenario4[[#This Row],[ability]])</f>
        <v>9</v>
      </c>
      <c r="N93" s="21">
        <f>IF(SUM(LightbringerAbilities2Scenario4[[#This Row],[takes]]) &gt; 0,LightbringerAbilities2Scenario4[[#This Row],[takes]]/SUM(LightbringerAbilities2Scenario4[takes]),0)</f>
        <v>0.82857142857142863</v>
      </c>
      <c r="O93" s="21">
        <f>IF(LightbringerAbilities2Scenario4[[#This Row],[takes]]&gt;0,LightbringerAbilities2Scenario4[[#This Row],[wins]]/LightbringerAbilities2Scenario4[[#This Row],[takes]],0)</f>
        <v>0.31034482758620691</v>
      </c>
      <c r="P93" s="20"/>
      <c r="Q93" s="20"/>
      <c r="R93" s="20"/>
      <c r="S93" s="22"/>
    </row>
    <row r="94" spans="11:19" x14ac:dyDescent="0.4">
      <c r="K94" s="11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4">
        <f>IF(SUM(LightbringerAbilities2Scenario4[[#This Row],[takes]]) &gt; 0,LightbringerAbilities2Scenario4[[#This Row],[takes]]/SUM(LightbringerAbilities2Scenario4[takes]),0)</f>
        <v>0</v>
      </c>
      <c r="O94" s="14">
        <f>IF(LightbringerAbilities2Scenario4[[#This Row],[takes]]&gt;0,LightbringerAbilities2Scenario4[[#This Row],[wins]]/LightbringerAbilities2Scenario4[[#This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3</v>
      </c>
      <c r="M97" s="1">
        <f>COUNTIF(Scenario4[winner1-ability3],LightbringerAbilities3Scenario4[[#This Row],[ability]])</f>
        <v>1</v>
      </c>
      <c r="N97" s="15">
        <f>IF(SUM(LightbringerAbilities3Scenario4[[#This Row],[takes]]) &gt; 0,LightbringerAbilities3Scenario4[[#This Row],[takes]]/SUM(LightbringerAbilities3Scenario4[takes]),0)</f>
        <v>9.0909090909090912E-2</v>
      </c>
      <c r="O97" s="15">
        <f>IF(LightbringerAbilities3Scenario4[[#This Row],[takes]]&gt;0,LightbringerAbilities3Scenario4[[#This Row],[wins]]/LightbringerAbilities3Scenario4[[#This Row],[takes]],0)</f>
        <v>0.33333333333333331</v>
      </c>
      <c r="P97" s="20"/>
      <c r="Q97" s="20"/>
      <c r="R97" s="20"/>
      <c r="S97" s="22"/>
    </row>
    <row r="98" spans="11:19" x14ac:dyDescent="0.4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</v>
      </c>
      <c r="M98" s="2">
        <f>COUNTIF(Scenario4[winner1-ability3],LightbringerAbilities3Scenario4[[#This Row],[ability]])</f>
        <v>0</v>
      </c>
      <c r="N98" s="13">
        <f>IF(SUM(LightbringerAbilities3Scenario4[[#This Row],[takes]]) &gt; 0,LightbringerAbilities3Scenario4[[#This Row],[takes]]/SUM(LightbringerAbilities3Scenario4[takes]),0)</f>
        <v>6.0606060606060608E-2</v>
      </c>
      <c r="O98" s="13">
        <f>IF(LightbringerAbilities3Scenario4[[#This Row],[takes]]&gt;0,LightbringerAbilities3Scenario4[[#This Row],[wins]]/LightbringerAbilities3Scenario4[[#This Row],[takes]],0)</f>
        <v>0</v>
      </c>
      <c r="P98" s="20"/>
      <c r="Q98" s="20"/>
      <c r="R98" s="20"/>
      <c r="S98" s="22"/>
    </row>
    <row r="99" spans="11:19" x14ac:dyDescent="0.4">
      <c r="K99" s="12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28</v>
      </c>
      <c r="M99" s="1">
        <f>COUNTIF(Scenario4[winner1-ability3],LightbringerAbilities3Scenario4[[#This Row],[ability]])</f>
        <v>10</v>
      </c>
      <c r="N99" s="16">
        <f>IF(SUM(LightbringerAbilities3Scenario4[[#This Row],[takes]]) &gt; 0,LightbringerAbilities3Scenario4[[#This Row],[takes]]/SUM(LightbringerAbilities3Scenario4[takes]),0)</f>
        <v>0.84848484848484851</v>
      </c>
      <c r="O99" s="16">
        <f>IF(LightbringerAbilities3Scenario4[[#This Row],[takes]]&gt;0,LightbringerAbilities3Scenario4[[#This Row],[wins]]/LightbringerAbilities3Scenario4[[#This Row],[takes]],0)</f>
        <v>0.35714285714285715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6</v>
      </c>
      <c r="M102" s="2">
        <f>COUNTIF(Scenario4[winner1-ability4],LightbringerAbilities4Scenario4[[#This Row],[ability]])</f>
        <v>3</v>
      </c>
      <c r="N102" s="13">
        <f>IF(SUM(LightbringerAbilities4Scenario4[[#This Row],[takes]]) &gt; 0,LightbringerAbilities4Scenario4[[#This Row],[takes]]/SUM(LightbringerAbilities4Scenario4[takes]),0)</f>
        <v>0.1875</v>
      </c>
      <c r="O102" s="13">
        <f>IF(LightbringerAbilities4Scenario4[[#This Row],[takes]]&gt;0,LightbringerAbilities4Scenario4[[#This Row],[wins]]/LightbringerAbilities4Scenario4[[#This Row],[takes]],0)</f>
        <v>0.5</v>
      </c>
      <c r="P102" s="20"/>
      <c r="Q102" s="20"/>
      <c r="R102" s="20"/>
      <c r="S102" s="22"/>
    </row>
    <row r="103" spans="11:19" x14ac:dyDescent="0.4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20</v>
      </c>
      <c r="M103" s="2">
        <f>COUNTIF(Scenario4[winner1-ability4],LightbringerAbilities4Scenario4[[#This Row],[ability]])</f>
        <v>7</v>
      </c>
      <c r="N103" s="13">
        <f>IF(SUM(LightbringerAbilities4Scenario4[[#This Row],[takes]]) &gt; 0,LightbringerAbilities4Scenario4[[#This Row],[takes]]/SUM(LightbringerAbilities4Scenario4[takes]),0)</f>
        <v>0.625</v>
      </c>
      <c r="O103" s="13">
        <f>IF(LightbringerAbilities4Scenario4[[#This Row],[takes]]&gt;0,LightbringerAbilities4Scenario4[[#This Row],[wins]]/LightbringerAbilities4Scenario4[[#This Row],[takes]],0)</f>
        <v>0.35</v>
      </c>
      <c r="P103" s="20"/>
      <c r="Q103" s="20"/>
      <c r="R103" s="20"/>
      <c r="S103" s="22"/>
    </row>
    <row r="104" spans="11:19" ht="15" thickBot="1" x14ac:dyDescent="0.45">
      <c r="K104" s="11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6</v>
      </c>
      <c r="M104" s="2">
        <f>COUNTIF(Scenario4[winner1-ability4],LightbringerAbilities4Scenario4[[#This Row],[ability]])</f>
        <v>1</v>
      </c>
      <c r="N104" s="30">
        <f>IF(SUM(LightbringerAbilities4Scenario4[[#This Row],[takes]]) &gt; 0,LightbringerAbilities4Scenario4[[#This Row],[takes]]/SUM(LightbringerAbilities4Scenario4[takes]),0)</f>
        <v>0.1875</v>
      </c>
      <c r="O104" s="30">
        <f>IF(LightbringerAbilities4Scenario4[[#This Row],[takes]]&gt;0,LightbringerAbilities4Scenario4[[#This Row],[wins]]/LightbringerAbilities4Scenario4[[#This Row],[takes]],0)</f>
        <v>0.16666666666666666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1" t="s">
        <v>824</v>
      </c>
      <c r="L106" s="42"/>
      <c r="M106" s="42"/>
      <c r="N106" s="42"/>
      <c r="O106" s="42"/>
      <c r="P106" s="42"/>
      <c r="Q106" s="42"/>
      <c r="R106" s="42"/>
      <c r="S106" s="43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170</v>
      </c>
      <c r="S107" s="22" t="s">
        <v>164</v>
      </c>
    </row>
    <row r="108" spans="11:19" x14ac:dyDescent="0.4">
      <c r="K108" t="s">
        <v>72</v>
      </c>
      <c r="L108" s="2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08" s="20">
        <f>COUNTIF(Scenario5[winner1-ability1],LightbringerAbilities1Scenario5[[#This Row],[ability]])+COUNTIF(Scenario5[winner2-ability1],LightbringerAbilities1Scenario5[[#This Row],[ability]])</f>
        <v>0</v>
      </c>
      <c r="N108" s="21">
        <f>IF(SUM(LightbringerAbilities1Scenario5[[#This Row],[takes]]) &gt; 0,LightbringerAbilities1Scenario5[[#This Row],[takes]]/SUM(LightbringerAbilities1Scenario5[takes]),0)</f>
        <v>0</v>
      </c>
      <c r="O108" s="21">
        <f>IF(LightbringerAbilities1Scenario5[[#This Row],[takes]]&gt;0,LightbringerAbilities1Scenario5[[#This Row],[wins]]/LightbringerAbilities1Scenario5[[#This Row],[takes]],0)</f>
        <v>0</v>
      </c>
      <c r="P108" s="20"/>
      <c r="Q108" s="20">
        <v>1</v>
      </c>
      <c r="R108" s="2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</v>
      </c>
      <c r="S108" s="22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3</v>
      </c>
    </row>
    <row r="109" spans="11:19" x14ac:dyDescent="0.4">
      <c r="K109" t="s">
        <v>145</v>
      </c>
      <c r="L109" s="2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09" s="20">
        <f>COUNTIF(Scenario5[winner1-ability1],LightbringerAbilities1Scenario5[[#This Row],[ability]])+COUNTIF(Scenario5[winner2-ability1],LightbringerAbilities1Scenario5[[#This Row],[ability]])</f>
        <v>0</v>
      </c>
      <c r="N109" s="21">
        <f>IF(SUM(LightbringerAbilities1Scenario5[[#This Row],[takes]]) &gt; 0,LightbringerAbilities1Scenario5[[#This Row],[takes]]/SUM(LightbringerAbilities1Scenario5[takes]),0)</f>
        <v>0</v>
      </c>
      <c r="O109" s="21">
        <f>IF(LightbringerAbilities1Scenario5[[#This Row],[takes]]&gt;0,LightbringerAbilities1Scenario5[[#This Row],[wins]]/LightbringerAbilities1Scenario5[[#This Row],[takes]],0)</f>
        <v>0</v>
      </c>
      <c r="P109" s="20"/>
      <c r="Q109" s="20">
        <v>2</v>
      </c>
      <c r="R109" s="2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</v>
      </c>
      <c r="S109" s="22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10" spans="11:19" x14ac:dyDescent="0.4">
      <c r="K110" t="s">
        <v>103</v>
      </c>
      <c r="L110" s="2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</v>
      </c>
      <c r="M110" s="20">
        <f>COUNTIF(Scenario5[winner1-ability1],LightbringerAbilities1Scenario5[[#This Row],[ability]])+COUNTIF(Scenario5[winner2-ability1],LightbringerAbilities1Scenario5[[#This Row],[ability]])</f>
        <v>0</v>
      </c>
      <c r="N110" s="21">
        <f>IF(SUM(LightbringerAbilities1Scenario5[[#This Row],[takes]]) &gt; 0,LightbringerAbilities1Scenario5[[#This Row],[takes]]/SUM(LightbringerAbilities1Scenario5[takes]),0)</f>
        <v>1</v>
      </c>
      <c r="O110" s="21">
        <f>IF(LightbringerAbilities1Scenario5[[#This Row],[takes]]&gt;0,LightbringerAbilities1Scenario5[[#This Row],[wins]]/LightbringerAbilities1Scenario5[[#This Row],[takes]],0)</f>
        <v>0</v>
      </c>
      <c r="P110" s="20"/>
      <c r="Q110" s="20">
        <v>3</v>
      </c>
      <c r="R110" s="2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</v>
      </c>
      <c r="S110" s="22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</v>
      </c>
      <c r="M113" s="2">
        <f>COUNTIF(Scenario5[winner1-ability2],LightbringerAbilities2Scenario5[[#This Row],[ability]])+COUNTIF(Scenario5[winner2-ability2],LightbringerAbilities2Scenario5[[#This Row],[ability]])</f>
        <v>0</v>
      </c>
      <c r="N113" s="13">
        <f>IF(SUM(LightbringerAbilities2Scenario5[[#This Row],[takes]]) &gt; 0,LightbringerAbilities2Scenario5[[#This Row],[takes]]/SUM(LightbringerAbilities2Scenario5[takes]),0)</f>
        <v>1</v>
      </c>
      <c r="O113" s="13">
        <f>IF(LightbringerAbilities2Scenario5[[#This Row],[takes]]&gt;0,LightbringerAbilities2Scenario5[[#This Row],[wins]]/LightbringerAbilities2Scenario5[[#This Row],[takes]],0)</f>
        <v>0</v>
      </c>
      <c r="P113" s="20"/>
      <c r="Q113" s="20"/>
      <c r="R113" s="20"/>
      <c r="S113" s="22"/>
    </row>
    <row r="114" spans="11:19" x14ac:dyDescent="0.4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4" s="2">
        <f>COUNTIF(Scenario5[winner1-ability2],LightbringerAbilities2Scenario5[[#This Row],[ability]])+COUNTIF(Scenario5[winner2-ability2],LightbringerAbilities2Scenario5[[#This Row],[ability]])</f>
        <v>0</v>
      </c>
      <c r="N114" s="21">
        <f>IF(SUM(LightbringerAbilities2Scenario5[[#This Row],[takes]]) &gt; 0,LightbringerAbilities2Scenario5[[#This Row],[takes]]/SUM(LightbringerAbilities2Scenario5[takes]),0)</f>
        <v>0</v>
      </c>
      <c r="O114" s="21">
        <f>IF(LightbringerAbilities2Scenario5[[#This Row],[takes]]&gt;0,LightbringerAbilities2Scenario5[[#This Row],[wins]]/LightbringerAbilities2Scenario5[[#This Row],[takes]],0)</f>
        <v>0</v>
      </c>
      <c r="P114" s="20"/>
      <c r="Q114" s="20"/>
      <c r="R114" s="20"/>
      <c r="S114" s="22"/>
    </row>
    <row r="115" spans="11:19" x14ac:dyDescent="0.4">
      <c r="K115" s="11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4">
        <f>IF(SUM(LightbringerAbilities2Scenario5[[#This Row],[takes]]) &gt; 0,LightbringerAbilities2Scenario5[[#This Row],[takes]]/SUM(LightbringerAbilities2Scenario5[takes]),0)</f>
        <v>0</v>
      </c>
      <c r="O115" s="14">
        <f>IF(LightbringerAbilities2Scenario5[[#This Row],[takes]]&gt;0,LightbringerAbilities2Scenario5[[#This Row],[wins]]/LightbringerAbilities2Scenario5[[#This Row],[takes]],0)</f>
        <v>0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</v>
      </c>
      <c r="M118" s="1">
        <f>COUNTIF(Scenario5[winner1-ability3],LightbringerAbilities3Scenario5[[#This Row],[ability]])+COUNTIF(Scenario5[winner2-ability3],LightbringerAbilities3Scenario5[[#This Row],[ability]])</f>
        <v>0</v>
      </c>
      <c r="N118" s="15">
        <f>IF(SUM(LightbringerAbilities3Scenario5[[#This Row],[takes]]) &gt; 0,LightbringerAbilities3Scenario5[[#This Row],[takes]]/SUM(LightbringerAbilities3Scenario5[takes]),0)</f>
        <v>0.33333333333333331</v>
      </c>
      <c r="O118" s="15">
        <f>IF(LightbringerAbilities3Scenario5[[#This Row],[takes]]&gt;0,LightbringerAbilities3Scenario5[[#This Row],[wins]]/LightbringerAbilities3Scenario5[[#This Row],[takes]],0)</f>
        <v>0</v>
      </c>
      <c r="P118" s="20"/>
      <c r="Q118" s="20"/>
      <c r="R118" s="20"/>
      <c r="S118" s="22"/>
    </row>
    <row r="119" spans="11:19" x14ac:dyDescent="0.4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2</v>
      </c>
      <c r="M119" s="2">
        <f>COUNTIF(Scenario5[winner1-ability3],LightbringerAbilities3Scenario5[[#This Row],[ability]])+COUNTIF(Scenario5[winner2-ability3],LightbringerAbilities3Scenario5[[#This Row],[ability]])</f>
        <v>0</v>
      </c>
      <c r="N119" s="13">
        <f>IF(SUM(LightbringerAbilities3Scenario5[[#This Row],[takes]]) &gt; 0,LightbringerAbilities3Scenario5[[#This Row],[takes]]/SUM(LightbringerAbilities3Scenario5[takes]),0)</f>
        <v>0.66666666666666663</v>
      </c>
      <c r="O119" s="13">
        <f>IF(LightbringerAbilities3Scenario5[[#This Row],[takes]]&gt;0,LightbringerAbilities3Scenario5[[#This Row],[wins]]/LightbringerAbilities3Scenario5[[#This Row],[takes]],0)</f>
        <v>0</v>
      </c>
      <c r="P119" s="20"/>
      <c r="Q119" s="20"/>
      <c r="R119" s="20"/>
      <c r="S119" s="22"/>
    </row>
    <row r="120" spans="11:19" x14ac:dyDescent="0.4">
      <c r="K120" s="12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0</v>
      </c>
      <c r="M120" s="1">
        <f>COUNTIF(Scenario5[winner1-ability3],LightbringerAbilities3Scenario5[[#This Row],[ability]])+COUNTIF(Scenario5[winner2-ability3],LightbringerAbilities3Scenario5[[#This Row],[ability]])</f>
        <v>0</v>
      </c>
      <c r="N120" s="16">
        <f>IF(SUM(LightbringerAbilities3Scenario5[[#This Row],[takes]]) &gt; 0,LightbringerAbilities3Scenario5[[#This Row],[takes]]/SUM(LightbringerAbilities3Scenario5[takes]),0)</f>
        <v>0</v>
      </c>
      <c r="O120" s="16">
        <f>IF(LightbringerAbilities3Scenario5[[#This Row],[takes]]&gt;0,LightbringerAbilities3Scenario5[[#This Row],[wins]]/LightbringerAbilities3Scenario5[[#This Row],[takes]],0)</f>
        <v>0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3" s="2">
        <f>COUNTIF(Scenario5[winner1-ability4],LightbringerAbilities4Scenario5[[#This Row],[ability]])+COUNTIF(Scenario5[winner2-ability4],LightbringerAbilities4Scenario5[[#This Row],[ability]])</f>
        <v>0</v>
      </c>
      <c r="N123" s="13">
        <f>IF(SUM(LightbringerAbilities4Scenario5[[#This Row],[takes]]) &gt; 0,LightbringerAbilities4Scenario5[[#This Row],[takes]]/SUM(LightbringerAbilities4Scenario5[takes]),0)</f>
        <v>0</v>
      </c>
      <c r="O123" s="13">
        <f>IF(LightbringerAbilities4Scenario5[[#This Row],[takes]]&gt;0,LightbringerAbilities4Scenario5[[#This Row],[wins]]/LightbringerAbilities4Scenario5[[#This Row],[takes]],0)</f>
        <v>0</v>
      </c>
      <c r="P123" s="20"/>
      <c r="Q123" s="20"/>
      <c r="R123" s="20"/>
      <c r="S123" s="22"/>
    </row>
    <row r="124" spans="11:19" x14ac:dyDescent="0.4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4" s="2">
        <f>COUNTIF(Scenario5[winner1-ability4],LightbringerAbilities4Scenario5[[#This Row],[ability]])+COUNTIF(Scenario5[winner2-ability4],LightbringerAbilities4Scenario5[[#This Row],[ability]])</f>
        <v>0</v>
      </c>
      <c r="N124" s="13">
        <f>IF(SUM(LightbringerAbilities4Scenario5[[#This Row],[takes]]) &gt; 0,LightbringerAbilities4Scenario5[[#This Row],[takes]]/SUM(LightbringerAbilities4Scenario5[takes]),0)</f>
        <v>0</v>
      </c>
      <c r="O124" s="13">
        <f>IF(LightbringerAbilities4Scenario5[[#This Row],[takes]]&gt;0,LightbringerAbilities4Scenario5[[#This Row],[wins]]/LightbringerAbilities4Scenario5[[#This Row],[takes]],0)</f>
        <v>0</v>
      </c>
      <c r="P124" s="20"/>
      <c r="Q124" s="20"/>
      <c r="R124" s="20"/>
      <c r="S124" s="22"/>
    </row>
    <row r="125" spans="11:19" ht="15" thickBot="1" x14ac:dyDescent="0.45">
      <c r="K125" s="11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5" s="2">
        <f>COUNTIF(Scenario5[winner1-ability4],LightbringerAbilities4Scenario5[[#This Row],[ability]])+COUNTIF(Scenario5[winner2-ability4],LightbringerAbilities4Scenario5[[#This Row],[ability]])</f>
        <v>0</v>
      </c>
      <c r="N125" s="30">
        <f>IF(SUM(LightbringerAbilities4Scenario5[[#This Row],[takes]]) &gt; 0,LightbringerAbilities4Scenario5[[#This Row],[takes]]/SUM(LightbringerAbilities4Scenario5[takes]),0)</f>
        <v>0</v>
      </c>
      <c r="O125" s="30">
        <f>IF(LightbringerAbilities4Scenario5[[#This Row],[takes]]&gt;0,LightbringerAbilities4Scenario5[[#This Row],[wins]]/LightbringerAbilities4Scenario5[[#This Row],[takes]],0)</f>
        <v>0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I9" sqref="I9"/>
    </sheetView>
  </sheetViews>
  <sheetFormatPr defaultRowHeight="14.6" x14ac:dyDescent="0.4"/>
  <cols>
    <col min="1" max="1" width="16.2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69140625" bestFit="1" customWidth="1"/>
    <col min="10" max="10" width="11.84375" bestFit="1" customWidth="1"/>
    <col min="11" max="11" width="3.84375" customWidth="1"/>
    <col min="12" max="12" width="16.230468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6914062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41" t="s">
        <v>391</v>
      </c>
      <c r="B1" s="42"/>
      <c r="C1" s="42"/>
      <c r="D1" s="42"/>
      <c r="E1" s="42"/>
      <c r="F1" s="42"/>
      <c r="G1" s="42"/>
      <c r="H1" s="42"/>
      <c r="I1" s="42"/>
      <c r="J1" s="43"/>
      <c r="L1" s="41" t="s">
        <v>392</v>
      </c>
      <c r="M1" s="42"/>
      <c r="N1" s="42"/>
      <c r="O1" s="42"/>
      <c r="P1" s="42"/>
      <c r="Q1" s="42"/>
      <c r="R1" s="42"/>
      <c r="S1" s="42"/>
      <c r="T1" s="42"/>
      <c r="U1" s="43"/>
      <c r="W1" t="s">
        <v>174</v>
      </c>
      <c r="X1" s="3" t="s">
        <v>175</v>
      </c>
    </row>
    <row r="2" spans="1:24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t="s">
        <v>171</v>
      </c>
      <c r="I2" t="s">
        <v>172</v>
      </c>
      <c r="J2" s="22" t="s">
        <v>164</v>
      </c>
      <c r="L2" s="19" t="s">
        <v>109</v>
      </c>
      <c r="M2" s="20" t="s">
        <v>110</v>
      </c>
      <c r="N2" s="20" t="s">
        <v>79</v>
      </c>
      <c r="O2" s="21" t="s">
        <v>117</v>
      </c>
      <c r="P2" s="21" t="s">
        <v>118</v>
      </c>
      <c r="Q2" s="20"/>
      <c r="R2" s="20" t="s">
        <v>161</v>
      </c>
      <c r="S2" t="s">
        <v>171</v>
      </c>
      <c r="T2" t="s">
        <v>172</v>
      </c>
      <c r="U2" s="22" t="s">
        <v>164</v>
      </c>
      <c r="W2" t="s">
        <v>415</v>
      </c>
      <c r="X2" s="3">
        <f>H4/SUM(AvengerEquip[sabre])</f>
        <v>0.21554770318021202</v>
      </c>
    </row>
    <row r="3" spans="1:24" x14ac:dyDescent="0.4">
      <c r="A3" t="s">
        <v>67</v>
      </c>
      <c r="B3" s="20">
        <f>M3+M24+M45+M66+M87+M108</f>
        <v>129</v>
      </c>
      <c r="C3" s="20">
        <f>N3+N24+N45+N66+N87+N108</f>
        <v>54</v>
      </c>
      <c r="D3" s="21">
        <f>IF(SUM(AvengerAbilities1[[#This Row],[takes]]) &gt; 0,AvengerAbilities1[[#This Row],[takes]]/SUM(AvengerAbilities1[takes]),0)</f>
        <v>0.45583038869257952</v>
      </c>
      <c r="E3" s="21">
        <f>IF(AvengerAbilities1[[#This Row],[takes]]&gt;0,AvengerAbilities1[[#This Row],[wins]]/AvengerAbilities1[[#This Row],[takes]],0)</f>
        <v>0.41860465116279072</v>
      </c>
      <c r="F3" s="20"/>
      <c r="G3" s="20">
        <v>1</v>
      </c>
      <c r="H3" s="20">
        <f>S3+S24+S45+S66+S87+S108</f>
        <v>132</v>
      </c>
      <c r="I3" s="20">
        <f>T3+T24+T45+T66+T87+T108</f>
        <v>171</v>
      </c>
      <c r="J3" s="22">
        <f>U3+U24+U45+U66+U87+U108</f>
        <v>176</v>
      </c>
      <c r="L3" t="s">
        <v>67</v>
      </c>
      <c r="M3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41</v>
      </c>
      <c r="N3" s="20">
        <f>COUNTIF(Scenario0[winner1-ability1],AvengerAbilities1Scenario0[[#This Row],[ability]])+COUNTIF(Scenario0[winner2-ability1],AvengerAbilities1Scenario0[[#This Row],[ability]])</f>
        <v>19</v>
      </c>
      <c r="O3" s="21">
        <f>IF(SUM(AvengerAbilities1Scenario0[[#This Row],[takes]]) &gt; 0,AvengerAbilities1Scenario0[[#This Row],[takes]]/SUM(AvengerAbilities1Scenario0[takes]),0)</f>
        <v>0.39047619047619048</v>
      </c>
      <c r="P3" s="21">
        <f>IF(AvengerAbilities1Scenario0[[#This Row],[takes]]&gt;0,AvengerAbilities1Scenario0[[#This Row],[wins]]/AvengerAbilities1Scenario0[[#This Row],[takes]],0)</f>
        <v>0.46341463414634149</v>
      </c>
      <c r="Q3" s="20"/>
      <c r="R3" s="20">
        <v>1</v>
      </c>
      <c r="S3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63</v>
      </c>
      <c r="T3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74</v>
      </c>
      <c r="U3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83</v>
      </c>
      <c r="W3" t="s">
        <v>416</v>
      </c>
      <c r="X3" s="18">
        <f>H5/SUM(AvengerEquip[sabre])</f>
        <v>0.31802120141342755</v>
      </c>
    </row>
    <row r="4" spans="1:24" x14ac:dyDescent="0.4">
      <c r="A4" t="s">
        <v>152</v>
      </c>
      <c r="B4" s="20">
        <f t="shared" ref="B4:B5" si="0">M4+M25+M46+M67+M88+M109</f>
        <v>154</v>
      </c>
      <c r="C4" s="20">
        <f t="shared" ref="C4:C5" si="1">N4+N25+N46+N67+N88+N109</f>
        <v>61</v>
      </c>
      <c r="D4" s="21">
        <f>IF(SUM(AvengerAbilities1[[#This Row],[takes]]) &gt; 0,AvengerAbilities1[[#This Row],[takes]]/SUM(AvengerAbilities1[takes]),0)</f>
        <v>0.54416961130742048</v>
      </c>
      <c r="E4" s="21">
        <f>IF(AvengerAbilities1[[#This Row],[takes]]&gt;0,AvengerAbilities1[[#This Row],[wins]]/AvengerAbilities1[[#This Row],[takes]],0)</f>
        <v>0.39610389610389612</v>
      </c>
      <c r="F4" s="20"/>
      <c r="G4" s="20">
        <v>2</v>
      </c>
      <c r="H4" s="20">
        <f t="shared" ref="H4:H5" si="2">S4+S25+S46+S67+S88+S109</f>
        <v>61</v>
      </c>
      <c r="I4" s="20">
        <f t="shared" ref="I4:I5" si="3">T4+T25+T46+T67+T88+T109</f>
        <v>55</v>
      </c>
      <c r="J4" s="22">
        <f t="shared" ref="J4:J5" si="4">U4+U25+U46+U67+U88+U109</f>
        <v>49</v>
      </c>
      <c r="L4" t="s">
        <v>152</v>
      </c>
      <c r="M4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64</v>
      </c>
      <c r="N4" s="20">
        <f>COUNTIF(Scenario0[winner1-ability1],AvengerAbilities1Scenario0[[#This Row],[ability]])+COUNTIF(Scenario0[winner2-ability1],AvengerAbilities1Scenario0[[#This Row],[ability]])</f>
        <v>30</v>
      </c>
      <c r="O4" s="21">
        <f>IF(SUM(AvengerAbilities1Scenario0[[#This Row],[takes]]) &gt; 0,AvengerAbilities1Scenario0[[#This Row],[takes]]/SUM(AvengerAbilities1Scenario0[takes]),0)</f>
        <v>0.60952380952380958</v>
      </c>
      <c r="P4" s="21">
        <f>IF(AvengerAbilities1Scenario0[[#This Row],[takes]]&gt;0,AvengerAbilities1Scenario0[[#This Row],[wins]]/AvengerAbilities1Scenario0[[#This Row],[takes]],0)</f>
        <v>0.46875</v>
      </c>
      <c r="Q4" s="20"/>
      <c r="R4" s="20">
        <v>2</v>
      </c>
      <c r="S4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22</v>
      </c>
      <c r="T4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22</v>
      </c>
      <c r="U4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15</v>
      </c>
      <c r="W4" t="s">
        <v>417</v>
      </c>
      <c r="X4" s="3">
        <f>AvengerEquip[[#This Row],[blade]]/SUM(AvengerEquip[blade])</f>
        <v>0.19434628975265017</v>
      </c>
    </row>
    <row r="5" spans="1:24" x14ac:dyDescent="0.4">
      <c r="A5" t="s">
        <v>39</v>
      </c>
      <c r="B5" s="20">
        <f t="shared" si="0"/>
        <v>0</v>
      </c>
      <c r="C5" s="20">
        <f t="shared" si="1"/>
        <v>0</v>
      </c>
      <c r="D5" s="21">
        <f>IF(SUM(AvengerAbilities1[[#This Row],[takes]]) &gt; 0,AvengerAbilities1[[#This Row],[takes]]/SUM(AvengerAbilities1[takes]),0)</f>
        <v>0</v>
      </c>
      <c r="E5" s="21">
        <f>IF(AvengerAbilities1[[#This Row],[takes]]&gt;0,AvengerAbilities1[[#This Row],[wins]]/AvengerAbilities1[[#This Row],[takes]],0)</f>
        <v>0</v>
      </c>
      <c r="F5" s="20"/>
      <c r="G5" s="20">
        <v>3</v>
      </c>
      <c r="H5" s="20">
        <f t="shared" si="2"/>
        <v>90</v>
      </c>
      <c r="I5" s="20">
        <f t="shared" si="3"/>
        <v>57</v>
      </c>
      <c r="J5" s="22">
        <f t="shared" si="4"/>
        <v>58</v>
      </c>
      <c r="L5" t="s">
        <v>39</v>
      </c>
      <c r="M5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 s="20">
        <f>COUNTIF(Scenario0[winner1-ability1],AvengerAbilities1Scenario0[[#This Row],[ability]])+COUNTIF(Scenario0[winner2-ability1],AvengerAbilities1Scenario0[[#This Row],[ability]])</f>
        <v>0</v>
      </c>
      <c r="O5" s="21">
        <f>IF(SUM(AvengerAbilities1Scenario0[[#This Row],[takes]]) &gt; 0,AvengerAbilities1Scenario0[[#This Row],[takes]]/SUM(AvengerAbilities1Scenario0[takes]),0)</f>
        <v>0</v>
      </c>
      <c r="P5" s="21">
        <f>IF(AvengerAbilities1Scenario0[[#This Row],[takes]]&gt;0,AvengerAbilities1Scenario0[[#This Row],[wins]]/AvengerAbilities1Scenario0[[#This Row],[takes]],0)</f>
        <v>0</v>
      </c>
      <c r="Q5" s="20"/>
      <c r="R5" s="20">
        <v>3</v>
      </c>
      <c r="S5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20</v>
      </c>
      <c r="T5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</v>
      </c>
      <c r="U5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7</v>
      </c>
      <c r="W5" t="s">
        <v>418</v>
      </c>
      <c r="X5" s="18">
        <f>AvengerEquip[[#This Row],[blade]]/SUM(AvengerEquip[blade])</f>
        <v>0.20141342756183744</v>
      </c>
    </row>
    <row r="6" spans="1:24" x14ac:dyDescent="0.4">
      <c r="A6" s="19"/>
      <c r="B6" s="20"/>
      <c r="C6" s="20"/>
      <c r="D6" s="21"/>
      <c r="E6" s="21"/>
      <c r="F6" s="20"/>
      <c r="G6" s="20"/>
      <c r="H6" s="20"/>
      <c r="I6" s="20"/>
      <c r="J6" s="22"/>
      <c r="L6" s="19"/>
      <c r="M6" s="20"/>
      <c r="N6" s="20"/>
      <c r="O6" s="21"/>
      <c r="P6" s="21"/>
      <c r="Q6" s="20"/>
      <c r="R6" s="20"/>
      <c r="S6" s="20"/>
      <c r="T6" s="20"/>
      <c r="U6" s="22"/>
      <c r="W6" t="s">
        <v>179</v>
      </c>
      <c r="X6" s="3">
        <f>J4/SUM(AvengerEquip[chestpiece])</f>
        <v>0.17314487632508835</v>
      </c>
    </row>
    <row r="7" spans="1:24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0"/>
      <c r="J7" s="22"/>
      <c r="L7" s="23" t="s">
        <v>109</v>
      </c>
      <c r="M7" s="9" t="s">
        <v>110</v>
      </c>
      <c r="N7" s="9" t="s">
        <v>79</v>
      </c>
      <c r="O7" s="10" t="s">
        <v>117</v>
      </c>
      <c r="P7" s="10" t="s">
        <v>118</v>
      </c>
      <c r="Q7" s="20"/>
      <c r="R7" s="20"/>
      <c r="S7" s="20"/>
      <c r="T7" s="20"/>
      <c r="U7" s="22"/>
      <c r="W7" t="s">
        <v>180</v>
      </c>
      <c r="X7" s="18">
        <f>J5/SUM(AvengerEquip[chestpiece])</f>
        <v>0.20494699646643111</v>
      </c>
    </row>
    <row r="8" spans="1:24" x14ac:dyDescent="0.4">
      <c r="A8" s="2" t="s">
        <v>40</v>
      </c>
      <c r="B8" s="2">
        <f>M8+M29+M50+M71+M92+M113</f>
        <v>29</v>
      </c>
      <c r="C8" s="2">
        <f>N8+N29+N50+N71+N92+N113</f>
        <v>10</v>
      </c>
      <c r="D8" s="13">
        <f>IF(SUM(AvengerAbilities2[[#This Row],[takes]]) &gt; 0,AvengerAbilities2[[#This Row],[takes]]/SUM(AvengerAbilities2[takes]),0)</f>
        <v>0.18238993710691823</v>
      </c>
      <c r="E8" s="13">
        <f>IF(AvengerAbilities2[[#This Row],[takes]]&gt;0,AvengerAbilities2[[#This Row],[wins]]/AvengerAbilities2[[#This Row],[takes]],0)</f>
        <v>0.34482758620689657</v>
      </c>
      <c r="F8" s="20"/>
      <c r="G8" s="20"/>
      <c r="H8" s="20"/>
      <c r="I8" s="20"/>
      <c r="J8" s="22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7</v>
      </c>
      <c r="N8" s="2">
        <f>COUNTIF(Scenario0[winner1-ability2],AvengerAbilities2Scenario0[[#This Row],[ability]])+COUNTIF(Scenario0[winner2-ability2],AvengerAbilities2Scenario0[[#This Row],[ability]])</f>
        <v>2</v>
      </c>
      <c r="O8" s="13">
        <f>IF(SUM(AvengerAbilities2Scenario0[[#This Row],[takes]]) &gt; 0,AvengerAbilities2Scenario0[[#This Row],[takes]]/SUM(AvengerAbilities2Scenario0[takes]),0)</f>
        <v>0.17073170731707318</v>
      </c>
      <c r="P8" s="13">
        <f>IF(AvengerAbilities2Scenario0[[#This Row],[takes]]&gt;0,AvengerAbilities2Scenario0[[#This Row],[wins]]/AvengerAbilities2Scenario0[[#This Row],[takes]],0)</f>
        <v>0.2857142857142857</v>
      </c>
      <c r="Q8" s="20"/>
      <c r="R8" s="20"/>
      <c r="S8" s="20"/>
      <c r="T8" s="20"/>
      <c r="U8" s="22"/>
      <c r="W8" t="s">
        <v>176</v>
      </c>
      <c r="X8" s="3">
        <f>SUM(AvengerAbilities2[takes])/SUM(AvengerAbilities1[takes])</f>
        <v>0.56183745583038869</v>
      </c>
    </row>
    <row r="9" spans="1:24" x14ac:dyDescent="0.4">
      <c r="A9" t="s">
        <v>70</v>
      </c>
      <c r="B9" s="2">
        <f t="shared" ref="B9:B10" si="5">M9+M30+M51+M72+M93+M114</f>
        <v>42</v>
      </c>
      <c r="C9" s="2">
        <f t="shared" ref="C9:C10" si="6">N9+N30+N51+N72+N93+N114</f>
        <v>37</v>
      </c>
      <c r="D9" s="21">
        <f>IF(SUM(AvengerAbilities2[[#This Row],[takes]]) &gt; 0,AvengerAbilities2[[#This Row],[takes]]/SUM(AvengerAbilities2[takes]),0)</f>
        <v>0.26415094339622641</v>
      </c>
      <c r="E9" s="21">
        <f>IF(AvengerAbilities2[[#This Row],[takes]]&gt;0,AvengerAbilities2[[#This Row],[wins]]/AvengerAbilities2[[#This Row],[takes]],0)</f>
        <v>0.88095238095238093</v>
      </c>
      <c r="F9" s="20"/>
      <c r="G9" s="20"/>
      <c r="H9" s="20"/>
      <c r="I9" s="20"/>
      <c r="J9" s="22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23</v>
      </c>
      <c r="N9" s="2">
        <f>COUNTIF(Scenario0[winner1-ability2],AvengerAbilities2Scenario0[[#This Row],[ability]])+COUNTIF(Scenario0[winner2-ability2],AvengerAbilities2Scenario0[[#This Row],[ability]])</f>
        <v>20</v>
      </c>
      <c r="O9" s="21">
        <f>IF(SUM(AvengerAbilities2Scenario0[[#This Row],[takes]]) &gt; 0,AvengerAbilities2Scenario0[[#This Row],[takes]]/SUM(AvengerAbilities2Scenario0[takes]),0)</f>
        <v>0.56097560975609762</v>
      </c>
      <c r="P9" s="21">
        <f>IF(AvengerAbilities2Scenario0[[#This Row],[takes]]&gt;0,AvengerAbilities2Scenario0[[#This Row],[wins]]/AvengerAbilities2Scenario0[[#This Row],[takes]],0)</f>
        <v>0.86956521739130432</v>
      </c>
      <c r="Q9" s="20"/>
      <c r="R9" s="20"/>
      <c r="S9" s="20"/>
      <c r="T9" s="20"/>
      <c r="U9" s="22"/>
      <c r="W9" t="s">
        <v>177</v>
      </c>
      <c r="X9" s="3">
        <f>SUM(AvengerAbilities3[takes])/SUM(AvengerAbilities1[takes])</f>
        <v>0.33568904593639576</v>
      </c>
    </row>
    <row r="10" spans="1:24" x14ac:dyDescent="0.4">
      <c r="A10" s="11" t="s">
        <v>96</v>
      </c>
      <c r="B10" s="2">
        <f t="shared" si="5"/>
        <v>88</v>
      </c>
      <c r="C10" s="2">
        <f t="shared" si="6"/>
        <v>29</v>
      </c>
      <c r="D10" s="14">
        <f>IF(SUM(AvengerAbilities2[[#This Row],[takes]]) &gt; 0,AvengerAbilities2[[#This Row],[takes]]/SUM(AvengerAbilities2[takes]),0)</f>
        <v>0.55345911949685533</v>
      </c>
      <c r="E10" s="14">
        <f>IF(AvengerAbilities2[[#This Row],[takes]]&gt;0,AvengerAbilities2[[#This Row],[wins]]/AvengerAbilities2[[#This Row],[takes]],0)</f>
        <v>0.32954545454545453</v>
      </c>
      <c r="F10" s="20"/>
      <c r="G10" s="20"/>
      <c r="H10" s="20"/>
      <c r="I10" s="20"/>
      <c r="J10" s="22"/>
      <c r="L10" s="11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11</v>
      </c>
      <c r="N10" s="2">
        <f>COUNTIF(Scenario0[winner1-ability2],AvengerAbilities2Scenario0[[#This Row],[ability]])+COUNTIF(Scenario0[winner2-ability2],AvengerAbilities2Scenario0[[#This Row],[ability]])</f>
        <v>6</v>
      </c>
      <c r="O10" s="14">
        <f>IF(SUM(AvengerAbilities2Scenario0[[#This Row],[takes]]) &gt; 0,AvengerAbilities2Scenario0[[#This Row],[takes]]/SUM(AvengerAbilities2Scenario0[takes]),0)</f>
        <v>0.26829268292682928</v>
      </c>
      <c r="P10" s="14">
        <f>IF(AvengerAbilities2Scenario0[[#This Row],[takes]]&gt;0,AvengerAbilities2Scenario0[[#This Row],[wins]]/AvengerAbilities2Scenario0[[#This Row],[takes]],0)</f>
        <v>0.54545454545454541</v>
      </c>
      <c r="Q10" s="20"/>
      <c r="R10" s="20"/>
      <c r="S10" s="20"/>
      <c r="T10" s="20"/>
      <c r="U10" s="22"/>
      <c r="W10" t="s">
        <v>178</v>
      </c>
      <c r="X10" s="18">
        <f>SUM(AvengerAbilities4[takes])/SUM(AvengerAbilities1[takes])</f>
        <v>0.24028268551236748</v>
      </c>
    </row>
    <row r="11" spans="1:24" x14ac:dyDescent="0.4">
      <c r="A11" s="19"/>
      <c r="B11" s="20"/>
      <c r="C11" s="20"/>
      <c r="D11" s="21"/>
      <c r="E11" s="21"/>
      <c r="F11" s="20"/>
      <c r="G11" s="20"/>
      <c r="H11" s="20"/>
      <c r="I11" s="20"/>
      <c r="J11" s="22"/>
      <c r="L11" s="19"/>
      <c r="M11" s="20"/>
      <c r="N11" s="20"/>
      <c r="O11" s="21"/>
      <c r="P11" s="21"/>
      <c r="Q11" s="20"/>
      <c r="R11" s="20"/>
      <c r="S11" s="20"/>
      <c r="T11" s="20"/>
      <c r="U11" s="22"/>
      <c r="W11" t="s">
        <v>404</v>
      </c>
      <c r="X11" s="39">
        <f>(SUM(AvengerAbilities2[takes])+SUM(AvengerAbilities3[takes])+SUM(AvengerAbilities4[takes])+SUM(H4:H5)+SUM(I4:I5)+SUM(J4:J5))/SUM(AvengerAbilities1[takes])</f>
        <v>2.4452296819787986</v>
      </c>
    </row>
    <row r="12" spans="1:24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0"/>
      <c r="J12" s="22"/>
      <c r="L12" s="23" t="s">
        <v>109</v>
      </c>
      <c r="M12" s="9" t="s">
        <v>110</v>
      </c>
      <c r="N12" s="9" t="s">
        <v>79</v>
      </c>
      <c r="O12" s="10" t="s">
        <v>117</v>
      </c>
      <c r="P12" s="10" t="s">
        <v>118</v>
      </c>
      <c r="Q12" s="20"/>
      <c r="R12" s="20"/>
      <c r="S12" s="20"/>
      <c r="T12" s="20"/>
      <c r="U12" s="22"/>
    </row>
    <row r="13" spans="1:24" x14ac:dyDescent="0.4">
      <c r="A13" s="1" t="s">
        <v>41</v>
      </c>
      <c r="B13" s="1">
        <f>M13+M34+M55+M76+M97+M118</f>
        <v>16</v>
      </c>
      <c r="C13" s="1">
        <f>N13+N34+N55+N76+N97+N118</f>
        <v>11</v>
      </c>
      <c r="D13" s="15">
        <f>IF(SUM(AvengerAbilities3[[#This Row],[takes]]) &gt; 0,AvengerAbilities3[[#This Row],[takes]]/SUM(AvengerAbilities3[takes]),0)</f>
        <v>0.16842105263157894</v>
      </c>
      <c r="E13" s="15">
        <f>IF(AvengerAbilities3[[#This Row],[takes]]&gt;0,AvengerAbilities3[[#This Row],[wins]]/AvengerAbilities3[[#This Row],[takes]],0)</f>
        <v>0.6875</v>
      </c>
      <c r="F13" s="20"/>
      <c r="G13" s="20"/>
      <c r="H13" s="20"/>
      <c r="I13" s="20"/>
      <c r="J13" s="22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4</v>
      </c>
      <c r="N13" s="1">
        <f>COUNTIF(Scenario0[winner1-ability3],AvengerAbilities3Scenario0[[#This Row],[ability]])+COUNTIF(Scenario0[winner2-ability3],AvengerAbilities3Scenario0[[#This Row],[ability]])</f>
        <v>3</v>
      </c>
      <c r="O13" s="15">
        <f>IF(SUM(AvengerAbilities3Scenario0[[#This Row],[takes]]) &gt; 0,AvengerAbilities3Scenario0[[#This Row],[takes]]/SUM(AvengerAbilities3Scenario0[takes]),0)</f>
        <v>0.36363636363636365</v>
      </c>
      <c r="P13" s="15">
        <f>IF(AvengerAbilities3Scenario0[[#This Row],[takes]]&gt;0,AvengerAbilities3Scenario0[[#This Row],[wins]]/AvengerAbilities3Scenario0[[#This Row],[takes]],0)</f>
        <v>0.75</v>
      </c>
      <c r="Q13" s="20"/>
      <c r="R13" s="20"/>
      <c r="S13" s="20"/>
      <c r="T13" s="20"/>
      <c r="U13" s="22"/>
    </row>
    <row r="14" spans="1:24" x14ac:dyDescent="0.4">
      <c r="A14" s="2" t="s">
        <v>153</v>
      </c>
      <c r="B14" s="1">
        <f t="shared" ref="B14:B15" si="7">M14+M35+M56+M77+M98+M119</f>
        <v>62</v>
      </c>
      <c r="C14" s="1">
        <f t="shared" ref="C14:C15" si="8">N14+N35+N56+N77+N98+N119</f>
        <v>18</v>
      </c>
      <c r="D14" s="13">
        <f>IF(SUM(AvengerAbilities3[[#This Row],[takes]]) &gt; 0,AvengerAbilities3[[#This Row],[takes]]/SUM(AvengerAbilities3[takes]),0)</f>
        <v>0.65263157894736845</v>
      </c>
      <c r="E14" s="13">
        <f>IF(AvengerAbilities3[[#This Row],[takes]]&gt;0,AvengerAbilities3[[#This Row],[wins]]/AvengerAbilities3[[#This Row],[takes]],0)</f>
        <v>0.29032258064516131</v>
      </c>
      <c r="F14" s="20"/>
      <c r="G14" s="20"/>
      <c r="H14" s="20"/>
      <c r="I14" s="20"/>
      <c r="J14" s="22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4" s="2">
        <f>COUNTIF(Scenario0[winner1-ability3],AvengerAbilities3Scenario0[[#This Row],[ability]])+COUNTIF(Scenario0[winner2-ability3],AvengerAbilities3Scenario0[[#This Row],[ability]])</f>
        <v>2</v>
      </c>
      <c r="O14" s="13">
        <f>IF(SUM(AvengerAbilities3Scenario0[[#This Row],[takes]]) &gt; 0,AvengerAbilities3Scenario0[[#This Row],[takes]]/SUM(AvengerAbilities3Scenario0[takes]),0)</f>
        <v>0.27272727272727271</v>
      </c>
      <c r="P14" s="13">
        <f>IF(AvengerAbilities3Scenario0[[#This Row],[takes]]&gt;0,AvengerAbilities3Scenario0[[#This Row],[wins]]/AvengerAbilities3Scenario0[[#This Row],[takes]],0)</f>
        <v>0.66666666666666663</v>
      </c>
      <c r="Q14" s="20"/>
      <c r="R14" s="20"/>
      <c r="S14" s="20"/>
      <c r="T14" s="20"/>
      <c r="U14" s="22"/>
    </row>
    <row r="15" spans="1:24" x14ac:dyDescent="0.4">
      <c r="A15" s="12" t="s">
        <v>154</v>
      </c>
      <c r="B15" s="1">
        <f t="shared" si="7"/>
        <v>17</v>
      </c>
      <c r="C15" s="1">
        <f t="shared" si="8"/>
        <v>6</v>
      </c>
      <c r="D15" s="16">
        <f>IF(SUM(AvengerAbilities3[[#This Row],[takes]]) &gt; 0,AvengerAbilities3[[#This Row],[takes]]/SUM(AvengerAbilities3[takes]),0)</f>
        <v>0.17894736842105263</v>
      </c>
      <c r="E15" s="16">
        <f>IF(AvengerAbilities3[[#This Row],[takes]]&gt;0,AvengerAbilities3[[#This Row],[wins]]/AvengerAbilities3[[#This Row],[takes]],0)</f>
        <v>0.35294117647058826</v>
      </c>
      <c r="F15" s="20"/>
      <c r="G15" s="20"/>
      <c r="H15" s="20"/>
      <c r="I15" s="20"/>
      <c r="J15" s="22"/>
      <c r="L15" s="12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4</v>
      </c>
      <c r="N15" s="1">
        <f>COUNTIF(Scenario0[winner1-ability3],AvengerAbilities3Scenario0[[#This Row],[ability]])+COUNTIF(Scenario0[winner2-ability3],AvengerAbilities3Scenario0[[#This Row],[ability]])</f>
        <v>2</v>
      </c>
      <c r="O15" s="16">
        <f>IF(SUM(AvengerAbilities3Scenario0[[#This Row],[takes]]) &gt; 0,AvengerAbilities3Scenario0[[#This Row],[takes]]/SUM(AvengerAbilities3Scenario0[takes]),0)</f>
        <v>0.36363636363636365</v>
      </c>
      <c r="P15" s="16">
        <f>IF(AvengerAbilities3Scenario0[[#This Row],[takes]]&gt;0,AvengerAbilities3Scenario0[[#This Row],[wins]]/AvengerAbilities3Scenario0[[#This Row],[takes]],0)</f>
        <v>0.5</v>
      </c>
      <c r="Q15" s="20"/>
      <c r="R15" s="20"/>
      <c r="S15" s="20"/>
      <c r="T15" s="20"/>
      <c r="U15" s="22"/>
    </row>
    <row r="16" spans="1:24" x14ac:dyDescent="0.4">
      <c r="A16" s="19"/>
      <c r="B16" s="20"/>
      <c r="C16" s="20"/>
      <c r="D16" s="21"/>
      <c r="E16" s="21"/>
      <c r="F16" s="20"/>
      <c r="G16" s="20"/>
      <c r="H16" s="20"/>
      <c r="I16" s="20"/>
      <c r="J16" s="22"/>
      <c r="L16" s="19"/>
      <c r="M16" s="20"/>
      <c r="N16" s="20"/>
      <c r="O16" s="21"/>
      <c r="P16" s="21"/>
      <c r="Q16" s="20"/>
      <c r="R16" s="20"/>
      <c r="S16" s="20"/>
      <c r="T16" s="20"/>
      <c r="U16" s="22"/>
    </row>
    <row r="17" spans="1:21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0"/>
      <c r="J17" s="22"/>
      <c r="L17" s="23" t="s">
        <v>109</v>
      </c>
      <c r="M17" s="9" t="s">
        <v>110</v>
      </c>
      <c r="N17" s="9" t="s">
        <v>79</v>
      </c>
      <c r="O17" s="10" t="s">
        <v>117</v>
      </c>
      <c r="P17" s="10" t="s">
        <v>118</v>
      </c>
      <c r="Q17" s="20"/>
      <c r="R17" s="20"/>
      <c r="S17" s="20"/>
      <c r="T17" s="20"/>
      <c r="U17" s="22"/>
    </row>
    <row r="18" spans="1:21" x14ac:dyDescent="0.4">
      <c r="A18" s="2" t="s">
        <v>155</v>
      </c>
      <c r="B18" s="2">
        <f>M18+M39+M60+M81+M102+M123</f>
        <v>2</v>
      </c>
      <c r="C18" s="2">
        <f>N18+N39+N60+N81+N102+N123</f>
        <v>0</v>
      </c>
      <c r="D18" s="13">
        <f>IF(SUM(AvengerAbilities4[[#This Row],[takes]]) &gt; 0,AvengerAbilities4[[#This Row],[takes]]/SUM(AvengerAbilities4[takes]),0)</f>
        <v>2.9411764705882353E-2</v>
      </c>
      <c r="E18" s="13">
        <f>IF(AvengerAbilities4[[#This Row],[takes]]&gt;0,AvengerAbilities4[[#This Row],[wins]]/AvengerAbilities4[[#This Row],[takes]],0)</f>
        <v>0</v>
      </c>
      <c r="F18" s="20"/>
      <c r="G18" s="20"/>
      <c r="H18" s="20"/>
      <c r="I18" s="20"/>
      <c r="J18" s="22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3">
        <f>IF(SUM(AvengerAbilities4Scenario0[[#This Row],[takes]]) &gt; 0,AvengerAbilities4Scenario0[[#This Row],[takes]]/SUM(AvengerAbilities4Scenario0[takes]),0)</f>
        <v>0</v>
      </c>
      <c r="P18" s="13">
        <f>IF(AvengerAbilities4Scenario0[[#This Row],[takes]]&gt;0,AvengerAbilities4Scenario0[[#This Row],[wins]]/AvengerAbilities4Scenario0[[#This Row],[takes]],0)</f>
        <v>0</v>
      </c>
      <c r="Q18" s="20"/>
      <c r="R18" s="20"/>
      <c r="S18" s="20"/>
      <c r="T18" s="20"/>
      <c r="U18" s="22"/>
    </row>
    <row r="19" spans="1:21" x14ac:dyDescent="0.4">
      <c r="A19" s="2" t="s">
        <v>156</v>
      </c>
      <c r="B19" s="2">
        <f t="shared" ref="B19:B20" si="9">M19+M40+M61+M82+M103+M124</f>
        <v>62</v>
      </c>
      <c r="C19" s="2">
        <f t="shared" ref="C19:C20" si="10">N19+N40+N61+N82+N103+N124</f>
        <v>20</v>
      </c>
      <c r="D19" s="13">
        <f>IF(SUM(AvengerAbilities4[[#This Row],[takes]]) &gt; 0,AvengerAbilities4[[#This Row],[takes]]/SUM(AvengerAbilities4[takes]),0)</f>
        <v>0.91176470588235292</v>
      </c>
      <c r="E19" s="13">
        <f>IF(AvengerAbilities4[[#This Row],[takes]]&gt;0,AvengerAbilities4[[#This Row],[wins]]/AvengerAbilities4[[#This Row],[takes]],0)</f>
        <v>0.32258064516129031</v>
      </c>
      <c r="F19" s="20"/>
      <c r="G19" s="20"/>
      <c r="H19" s="20"/>
      <c r="I19" s="20"/>
      <c r="J19" s="22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2</v>
      </c>
      <c r="N19" s="2">
        <f>COUNTIF(Scenario0[winner1-ability4],AvengerAbilities4Scenario0[[#This Row],[ability]])+COUNTIF(Scenario0[winner2-ability4],AvengerAbilities4Scenario0[[#This Row],[ability]])</f>
        <v>2</v>
      </c>
      <c r="O19" s="13">
        <f>IF(SUM(AvengerAbilities4Scenario0[[#This Row],[takes]]) &gt; 0,AvengerAbilities4Scenario0[[#This Row],[takes]]/SUM(AvengerAbilities4Scenario0[takes]),0)</f>
        <v>0.5</v>
      </c>
      <c r="P19" s="13">
        <f>IF(AvengerAbilities4Scenario0[[#This Row],[takes]]&gt;0,AvengerAbilities4Scenario0[[#This Row],[wins]]/AvengerAbilities4Scenario0[[#This Row],[takes]],0)</f>
        <v>1</v>
      </c>
      <c r="Q19" s="20"/>
      <c r="R19" s="20"/>
      <c r="S19" s="20"/>
      <c r="T19" s="20"/>
      <c r="U19" s="22"/>
    </row>
    <row r="20" spans="1:21" ht="15" thickBot="1" x14ac:dyDescent="0.45">
      <c r="A20" s="11" t="s">
        <v>42</v>
      </c>
      <c r="B20" s="2">
        <f t="shared" si="9"/>
        <v>4</v>
      </c>
      <c r="C20" s="2">
        <f t="shared" si="10"/>
        <v>3</v>
      </c>
      <c r="D20" s="30">
        <f>IF(SUM(AvengerAbilities4[[#This Row],[takes]]) &gt; 0,AvengerAbilities4[[#This Row],[takes]]/SUM(AvengerAbilities4[takes]),0)</f>
        <v>5.8823529411764705E-2</v>
      </c>
      <c r="E20" s="30">
        <f>IF(AvengerAbilities4[[#This Row],[takes]]&gt;0,AvengerAbilities4[[#This Row],[wins]]/AvengerAbilities4[[#This Row],[takes]],0)</f>
        <v>0.75</v>
      </c>
      <c r="F20" s="31"/>
      <c r="G20" s="31"/>
      <c r="H20" s="31"/>
      <c r="I20" s="31"/>
      <c r="J20" s="32"/>
      <c r="L20" s="11" t="s">
        <v>42</v>
      </c>
      <c r="M20" s="29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2</v>
      </c>
      <c r="N20" s="29">
        <f>COUNTIF(Scenario0[winner1-ability4],AvengerAbilities4Scenario0[[#This Row],[ability]])+COUNTIF(Scenario0[winner2-ability4],AvengerAbilities4Scenario0[[#This Row],[ability]])</f>
        <v>1</v>
      </c>
      <c r="O20" s="30">
        <f>IF(SUM(AvengerAbilities4Scenario0[[#This Row],[takes]]) &gt; 0,AvengerAbilities4Scenario0[[#This Row],[takes]]/SUM(AvengerAbilities4Scenario0[takes]),0)</f>
        <v>0.5</v>
      </c>
      <c r="P20" s="30">
        <f>IF(AvengerAbilities4Scenario0[[#This Row],[takes]]&gt;0,AvengerAbilities4Scenario0[[#This Row],[wins]]/AvengerAbilities4Scenario0[[#This Row],[takes]],0)</f>
        <v>0.5</v>
      </c>
      <c r="Q20" s="31"/>
      <c r="R20" s="31"/>
      <c r="S20" s="31"/>
      <c r="T20" s="31"/>
      <c r="U20" s="32"/>
    </row>
    <row r="21" spans="1:21" ht="15" thickBot="1" x14ac:dyDescent="0.45"/>
    <row r="22" spans="1:21" ht="15" thickBot="1" x14ac:dyDescent="0.45">
      <c r="L22" s="41" t="s">
        <v>393</v>
      </c>
      <c r="M22" s="42"/>
      <c r="N22" s="42"/>
      <c r="O22" s="42"/>
      <c r="P22" s="42"/>
      <c r="Q22" s="42"/>
      <c r="R22" s="42"/>
      <c r="S22" s="42"/>
      <c r="T22" s="42"/>
      <c r="U22" s="43"/>
    </row>
    <row r="23" spans="1:21" x14ac:dyDescent="0.4">
      <c r="L23" s="19" t="s">
        <v>109</v>
      </c>
      <c r="M23" s="20" t="s">
        <v>110</v>
      </c>
      <c r="N23" s="20" t="s">
        <v>79</v>
      </c>
      <c r="O23" s="21" t="s">
        <v>117</v>
      </c>
      <c r="P23" s="21" t="s">
        <v>118</v>
      </c>
      <c r="Q23" s="20"/>
      <c r="R23" s="20" t="s">
        <v>161</v>
      </c>
      <c r="S23" t="s">
        <v>171</v>
      </c>
      <c r="T23" t="s">
        <v>172</v>
      </c>
      <c r="U23" s="22" t="s">
        <v>164</v>
      </c>
    </row>
    <row r="24" spans="1:21" x14ac:dyDescent="0.4">
      <c r="L24" t="s">
        <v>67</v>
      </c>
      <c r="M24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41</v>
      </c>
      <c r="N24" s="20">
        <f>COUNTIF(Scenario1[winner1-ability1],AvengerAbilities1Scenario1[[#This Row],[ability]])+COUNTIF(Scenario1[winner2-ability1],AvengerAbilities1Scenario1[[#This Row],[ability]])</f>
        <v>21</v>
      </c>
      <c r="O24" s="21">
        <f>IF(SUM(AvengerAbilities1Scenario1[[#This Row],[takes]]) &gt; 0,AvengerAbilities1Scenario1[[#This Row],[takes]]/SUM(AvengerAbilities1Scenario1[takes]),0)</f>
        <v>0.39047619047619048</v>
      </c>
      <c r="P24" s="21">
        <f>IF(AvengerAbilities1Scenario1[[#This Row],[takes]]&gt;0,AvengerAbilities1Scenario1[[#This Row],[wins]]/AvengerAbilities1Scenario1[[#This Row],[takes]],0)</f>
        <v>0.51219512195121952</v>
      </c>
      <c r="Q24" s="20"/>
      <c r="R24" s="20">
        <v>1</v>
      </c>
      <c r="S24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54</v>
      </c>
      <c r="T24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80</v>
      </c>
      <c r="U24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76</v>
      </c>
    </row>
    <row r="25" spans="1:21" x14ac:dyDescent="0.4">
      <c r="L25" t="s">
        <v>152</v>
      </c>
      <c r="M25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64</v>
      </c>
      <c r="N25" s="20">
        <f>COUNTIF(Scenario1[winner1-ability1],AvengerAbilities1Scenario1[[#This Row],[ability]])+COUNTIF(Scenario1[winner2-ability1],AvengerAbilities1Scenario1[[#This Row],[ability]])</f>
        <v>25</v>
      </c>
      <c r="O25" s="21">
        <f>IF(SUM(AvengerAbilities1Scenario1[[#This Row],[takes]]) &gt; 0,AvengerAbilities1Scenario1[[#This Row],[takes]]/SUM(AvengerAbilities1Scenario1[takes]),0)</f>
        <v>0.60952380952380958</v>
      </c>
      <c r="P25" s="21">
        <f>IF(AvengerAbilities1Scenario1[[#This Row],[takes]]&gt;0,AvengerAbilities1Scenario1[[#This Row],[wins]]/AvengerAbilities1Scenario1[[#This Row],[takes]],0)</f>
        <v>0.390625</v>
      </c>
      <c r="Q25" s="20"/>
      <c r="R25" s="20">
        <v>2</v>
      </c>
      <c r="S25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34</v>
      </c>
      <c r="T25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17</v>
      </c>
      <c r="U25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21</v>
      </c>
    </row>
    <row r="26" spans="1:21" x14ac:dyDescent="0.4">
      <c r="L26" t="s">
        <v>39</v>
      </c>
      <c r="M26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 s="20">
        <f>COUNTIF(Scenario1[winner1-ability1],AvengerAbilities1Scenario1[[#This Row],[ability]])+COUNTIF(Scenario1[winner2-ability1],AvengerAbilities1Scenario1[[#This Row],[ability]])</f>
        <v>0</v>
      </c>
      <c r="O26" s="21">
        <f>IF(SUM(AvengerAbilities1Scenario1[[#This Row],[takes]]) &gt; 0,AvengerAbilities1Scenario1[[#This Row],[takes]]/SUM(AvengerAbilities1Scenario1[takes]),0)</f>
        <v>0</v>
      </c>
      <c r="P26" s="21">
        <f>IF(AvengerAbilities1Scenario1[[#This Row],[takes]]&gt;0,AvengerAbilities1Scenario1[[#This Row],[wins]]/AvengerAbilities1Scenario1[[#This Row],[takes]],0)</f>
        <v>0</v>
      </c>
      <c r="Q26" s="20"/>
      <c r="R26" s="20">
        <v>3</v>
      </c>
      <c r="S26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17</v>
      </c>
      <c r="T26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</v>
      </c>
      <c r="U26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8</v>
      </c>
    </row>
    <row r="27" spans="1:21" x14ac:dyDescent="0.4">
      <c r="L27" s="19"/>
      <c r="M27" s="20"/>
      <c r="N27" s="20"/>
      <c r="O27" s="21"/>
      <c r="P27" s="21"/>
      <c r="Q27" s="20"/>
      <c r="R27" s="20"/>
      <c r="S27" s="20"/>
      <c r="T27" s="20"/>
      <c r="U27" s="22"/>
    </row>
    <row r="28" spans="1:21" x14ac:dyDescent="0.4">
      <c r="L28" s="23" t="s">
        <v>109</v>
      </c>
      <c r="M28" s="9" t="s">
        <v>110</v>
      </c>
      <c r="N28" s="9" t="s">
        <v>79</v>
      </c>
      <c r="O28" s="10" t="s">
        <v>117</v>
      </c>
      <c r="P28" s="10" t="s">
        <v>118</v>
      </c>
      <c r="Q28" s="20"/>
      <c r="R28" s="20"/>
      <c r="S28" s="20"/>
      <c r="T28" s="20"/>
      <c r="U28" s="22"/>
    </row>
    <row r="29" spans="1:21" x14ac:dyDescent="0.4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5</v>
      </c>
      <c r="N29" s="2">
        <f>COUNTIF(Scenario1[winner1-ability2],AvengerAbilities2Scenario1[[#This Row],[ability]])+COUNTIF(Scenario1[winner2-ability2],AvengerAbilities2Scenario1[[#This Row],[ability]])</f>
        <v>1</v>
      </c>
      <c r="O29" s="13">
        <f>IF(SUM(AvengerAbilities2Scenario1[[#This Row],[takes]]) &gt; 0,AvengerAbilities2Scenario1[[#This Row],[takes]]/SUM(AvengerAbilities2Scenario1[takes]),0)</f>
        <v>0.10638297872340426</v>
      </c>
      <c r="P29" s="13">
        <f>IF(AvengerAbilities2Scenario1[[#This Row],[takes]]&gt;0,AvengerAbilities2Scenario1[[#This Row],[wins]]/AvengerAbilities2Scenario1[[#This Row],[takes]],0)</f>
        <v>0.2</v>
      </c>
      <c r="Q29" s="20"/>
      <c r="R29" s="20"/>
      <c r="S29" s="20"/>
      <c r="T29" s="20"/>
      <c r="U29" s="22"/>
    </row>
    <row r="30" spans="1:21" x14ac:dyDescent="0.4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19</v>
      </c>
      <c r="N30" s="2">
        <f>COUNTIF(Scenario1[winner1-ability2],AvengerAbilities2Scenario1[[#This Row],[ability]])+COUNTIF(Scenario1[winner2-ability2],AvengerAbilities2Scenario1[[#This Row],[ability]])</f>
        <v>17</v>
      </c>
      <c r="O30" s="21">
        <f>IF(SUM(AvengerAbilities2Scenario1[[#This Row],[takes]]) &gt; 0,AvengerAbilities2Scenario1[[#This Row],[takes]]/SUM(AvengerAbilities2Scenario1[takes]),0)</f>
        <v>0.40425531914893614</v>
      </c>
      <c r="P30" s="21">
        <f>IF(AvengerAbilities2Scenario1[[#This Row],[takes]]&gt;0,AvengerAbilities2Scenario1[[#This Row],[wins]]/AvengerAbilities2Scenario1[[#This Row],[takes]],0)</f>
        <v>0.89473684210526316</v>
      </c>
      <c r="Q30" s="20"/>
      <c r="R30" s="20"/>
      <c r="S30" s="20"/>
      <c r="T30" s="20"/>
      <c r="U30" s="22"/>
    </row>
    <row r="31" spans="1:21" x14ac:dyDescent="0.4">
      <c r="L31" s="11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23</v>
      </c>
      <c r="N31" s="2">
        <f>COUNTIF(Scenario1[winner1-ability2],AvengerAbilities2Scenario1[[#This Row],[ability]])+COUNTIF(Scenario1[winner2-ability2],AvengerAbilities2Scenario1[[#This Row],[ability]])</f>
        <v>10</v>
      </c>
      <c r="O31" s="14">
        <f>IF(SUM(AvengerAbilities2Scenario1[[#This Row],[takes]]) &gt; 0,AvengerAbilities2Scenario1[[#This Row],[takes]]/SUM(AvengerAbilities2Scenario1[takes]),0)</f>
        <v>0.48936170212765956</v>
      </c>
      <c r="P31" s="14">
        <f>IF(AvengerAbilities2Scenario1[[#This Row],[takes]]&gt;0,AvengerAbilities2Scenario1[[#This Row],[wins]]/AvengerAbilities2Scenario1[[#This Row],[takes]],0)</f>
        <v>0.43478260869565216</v>
      </c>
      <c r="Q31" s="20"/>
      <c r="R31" s="20"/>
      <c r="S31" s="20"/>
      <c r="T31" s="20"/>
      <c r="U31" s="22"/>
    </row>
    <row r="32" spans="1:21" x14ac:dyDescent="0.4">
      <c r="L32" s="19"/>
      <c r="M32" s="20"/>
      <c r="N32" s="20"/>
      <c r="O32" s="21"/>
      <c r="P32" s="21"/>
      <c r="Q32" s="20"/>
      <c r="R32" s="20"/>
      <c r="S32" s="20"/>
      <c r="T32" s="20"/>
      <c r="U32" s="22"/>
    </row>
    <row r="33" spans="12:21" x14ac:dyDescent="0.4">
      <c r="L33" s="23" t="s">
        <v>109</v>
      </c>
      <c r="M33" s="9" t="s">
        <v>110</v>
      </c>
      <c r="N33" s="9" t="s">
        <v>79</v>
      </c>
      <c r="O33" s="10" t="s">
        <v>117</v>
      </c>
      <c r="P33" s="10" t="s">
        <v>118</v>
      </c>
      <c r="Q33" s="20"/>
      <c r="R33" s="20"/>
      <c r="S33" s="20"/>
      <c r="T33" s="20"/>
      <c r="U33" s="22"/>
    </row>
    <row r="34" spans="12:21" x14ac:dyDescent="0.4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10</v>
      </c>
      <c r="N34" s="1">
        <f>COUNTIF(Scenario1[winner1-ability3],AvengerAbilities3Scenario1[[#This Row],[ability]])+COUNTIF(Scenario1[winner2-ability3],AvengerAbilities3Scenario1[[#This Row],[ability]])</f>
        <v>7</v>
      </c>
      <c r="O34" s="15">
        <f>IF(SUM(AvengerAbilities3Scenario1[[#This Row],[takes]]) &gt; 0,AvengerAbilities3Scenario1[[#This Row],[takes]]/SUM(AvengerAbilities3Scenario1[takes]),0)</f>
        <v>0.58823529411764708</v>
      </c>
      <c r="P34" s="15">
        <f>IF(AvengerAbilities3Scenario1[[#This Row],[takes]]&gt;0,AvengerAbilities3Scenario1[[#This Row],[wins]]/AvengerAbilities3Scenario1[[#This Row],[takes]],0)</f>
        <v>0.7</v>
      </c>
      <c r="Q34" s="20"/>
      <c r="R34" s="20"/>
      <c r="S34" s="20"/>
      <c r="T34" s="20"/>
      <c r="U34" s="22"/>
    </row>
    <row r="35" spans="12:21" x14ac:dyDescent="0.4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3</v>
      </c>
      <c r="N35" s="2">
        <f>COUNTIF(Scenario1[winner1-ability3],AvengerAbilities3Scenario1[[#This Row],[ability]])+COUNTIF(Scenario1[winner2-ability3],AvengerAbilities3Scenario1[[#This Row],[ability]])</f>
        <v>1</v>
      </c>
      <c r="O35" s="13">
        <f>IF(SUM(AvengerAbilities3Scenario1[[#This Row],[takes]]) &gt; 0,AvengerAbilities3Scenario1[[#This Row],[takes]]/SUM(AvengerAbilities3Scenario1[takes]),0)</f>
        <v>0.17647058823529413</v>
      </c>
      <c r="P35" s="13">
        <f>IF(AvengerAbilities3Scenario1[[#This Row],[takes]]&gt;0,AvengerAbilities3Scenario1[[#This Row],[wins]]/AvengerAbilities3Scenario1[[#This Row],[takes]],0)</f>
        <v>0.33333333333333331</v>
      </c>
      <c r="Q35" s="20"/>
      <c r="R35" s="20"/>
      <c r="S35" s="20"/>
      <c r="T35" s="20"/>
      <c r="U35" s="22"/>
    </row>
    <row r="36" spans="12:21" x14ac:dyDescent="0.4">
      <c r="L36" s="12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4</v>
      </c>
      <c r="N36" s="1">
        <f>COUNTIF(Scenario1[winner1-ability3],AvengerAbilities3Scenario1[[#This Row],[ability]])+COUNTIF(Scenario1[winner2-ability3],AvengerAbilities3Scenario1[[#This Row],[ability]])</f>
        <v>2</v>
      </c>
      <c r="O36" s="16">
        <f>IF(SUM(AvengerAbilities3Scenario1[[#This Row],[takes]]) &gt; 0,AvengerAbilities3Scenario1[[#This Row],[takes]]/SUM(AvengerAbilities3Scenario1[takes]),0)</f>
        <v>0.23529411764705882</v>
      </c>
      <c r="P36" s="16">
        <f>IF(AvengerAbilities3Scenario1[[#This Row],[takes]]&gt;0,AvengerAbilities3Scenario1[[#This Row],[wins]]/AvengerAbilities3Scenario1[[#This Row],[takes]],0)</f>
        <v>0.5</v>
      </c>
      <c r="Q36" s="20"/>
      <c r="R36" s="20"/>
      <c r="S36" s="20"/>
      <c r="T36" s="20"/>
      <c r="U36" s="22"/>
    </row>
    <row r="37" spans="12:21" x14ac:dyDescent="0.4">
      <c r="L37" s="19"/>
      <c r="M37" s="20"/>
      <c r="N37" s="20"/>
      <c r="O37" s="21"/>
      <c r="P37" s="21"/>
      <c r="Q37" s="20"/>
      <c r="R37" s="20"/>
      <c r="S37" s="20"/>
      <c r="T37" s="20"/>
      <c r="U37" s="22"/>
    </row>
    <row r="38" spans="12:21" x14ac:dyDescent="0.4">
      <c r="L38" s="23" t="s">
        <v>109</v>
      </c>
      <c r="M38" s="9" t="s">
        <v>110</v>
      </c>
      <c r="N38" s="9" t="s">
        <v>79</v>
      </c>
      <c r="O38" s="10" t="s">
        <v>117</v>
      </c>
      <c r="P38" s="10" t="s">
        <v>118</v>
      </c>
      <c r="Q38" s="20"/>
      <c r="R38" s="20"/>
      <c r="S38" s="20"/>
      <c r="T38" s="20"/>
      <c r="U38" s="22"/>
    </row>
    <row r="39" spans="12:21" x14ac:dyDescent="0.4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3">
        <f>IF(SUM(AvengerAbilities4Scenario1[[#This Row],[takes]]) &gt; 0,AvengerAbilities4Scenario1[[#This Row],[takes]]/SUM(AvengerAbilities4Scenario1[takes]),0)</f>
        <v>0</v>
      </c>
      <c r="P39" s="13">
        <f>IF(AvengerAbilities4Scenario1[[#This Row],[takes]]&gt;0,AvengerAbilities4Scenario1[[#This Row],[wins]]/AvengerAbilities4Scenario1[[#This Row],[takes]],0)</f>
        <v>0</v>
      </c>
      <c r="Q39" s="20"/>
      <c r="R39" s="20"/>
      <c r="S39" s="20"/>
      <c r="T39" s="20"/>
      <c r="U39" s="22"/>
    </row>
    <row r="40" spans="12:21" x14ac:dyDescent="0.4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3</v>
      </c>
      <c r="N40" s="2">
        <f>COUNTIF(Scenario1[winner1-ability4],AvengerAbilities4Scenario1[[#This Row],[ability]])+COUNTIF(Scenario1[winner2-ability4],AvengerAbilities4Scenario1[[#This Row],[ability]])</f>
        <v>2</v>
      </c>
      <c r="O40" s="13">
        <f>IF(SUM(AvengerAbilities4Scenario1[[#This Row],[takes]]) &gt; 0,AvengerAbilities4Scenario1[[#This Row],[takes]]/SUM(AvengerAbilities4Scenario1[takes]),0)</f>
        <v>0.6</v>
      </c>
      <c r="P40" s="13">
        <f>IF(AvengerAbilities4Scenario1[[#This Row],[takes]]&gt;0,AvengerAbilities4Scenario1[[#This Row],[wins]]/AvengerAbilities4Scenario1[[#This Row],[takes]],0)</f>
        <v>0.66666666666666663</v>
      </c>
      <c r="Q40" s="20"/>
      <c r="R40" s="20"/>
      <c r="S40" s="20"/>
      <c r="T40" s="20"/>
      <c r="U40" s="22"/>
    </row>
    <row r="41" spans="12:21" ht="15" thickBot="1" x14ac:dyDescent="0.45">
      <c r="L41" s="11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41" s="2">
        <f>COUNTIF(Scenario1[winner1-ability4],AvengerAbilities4Scenario1[[#This Row],[ability]])+COUNTIF(Scenario1[winner2-ability4],AvengerAbilities4Scenario1[[#This Row],[ability]])</f>
        <v>2</v>
      </c>
      <c r="O41" s="30">
        <f>IF(SUM(AvengerAbilities4Scenario1[[#This Row],[takes]]) &gt; 0,AvengerAbilities4Scenario1[[#This Row],[takes]]/SUM(AvengerAbilities4Scenario1[takes]),0)</f>
        <v>0.4</v>
      </c>
      <c r="P41" s="30">
        <f>IF(AvengerAbilities4Scenario1[[#This Row],[takes]]&gt;0,AvengerAbilities4Scenario1[[#This Row],[wins]]/AvengerAbilities4Scenario1[[#This Row],[takes]],0)</f>
        <v>1</v>
      </c>
      <c r="Q41" s="31"/>
      <c r="R41" s="31"/>
      <c r="S41" s="31"/>
      <c r="T41" s="31"/>
      <c r="U41" s="32"/>
    </row>
    <row r="42" spans="12:21" ht="15" thickBot="1" x14ac:dyDescent="0.45"/>
    <row r="43" spans="12:21" ht="15" thickBot="1" x14ac:dyDescent="0.45">
      <c r="L43" s="41" t="s">
        <v>394</v>
      </c>
      <c r="M43" s="42"/>
      <c r="N43" s="42"/>
      <c r="O43" s="42"/>
      <c r="P43" s="42"/>
      <c r="Q43" s="42"/>
      <c r="R43" s="42"/>
      <c r="S43" s="42"/>
      <c r="T43" s="42"/>
      <c r="U43" s="43"/>
    </row>
    <row r="44" spans="12:21" x14ac:dyDescent="0.4">
      <c r="L44" s="19" t="s">
        <v>109</v>
      </c>
      <c r="M44" s="20" t="s">
        <v>110</v>
      </c>
      <c r="N44" s="20" t="s">
        <v>79</v>
      </c>
      <c r="O44" s="21" t="s">
        <v>117</v>
      </c>
      <c r="P44" s="21" t="s">
        <v>118</v>
      </c>
      <c r="Q44" s="20"/>
      <c r="R44" s="20" t="s">
        <v>161</v>
      </c>
      <c r="S44" t="s">
        <v>171</v>
      </c>
      <c r="T44" t="s">
        <v>172</v>
      </c>
      <c r="U44" s="22" t="s">
        <v>164</v>
      </c>
    </row>
    <row r="45" spans="12:21" x14ac:dyDescent="0.4">
      <c r="L45" t="s">
        <v>67</v>
      </c>
      <c r="M45" s="20">
        <f>COUNTIF(Scenario2[winner1-ability1],AvengerAbilities1Scenario2[[#This Row],[ability]])+COUNTIF(Scenario2[loser1-ability1],AvengerAbilities1Scenario2[[#This Row],[ability]])</f>
        <v>10</v>
      </c>
      <c r="N45" s="20">
        <f>COUNTIF(Scenario2[winner1-ability1],AvengerAbilities1Scenario2[[#This Row],[ability]])</f>
        <v>5</v>
      </c>
      <c r="O45" s="21">
        <f>IF(SUM(AvengerAbilities1Scenario2[[#This Row],[takes]]) &gt; 0,AvengerAbilities1Scenario2[[#This Row],[takes]]/SUM(AvengerAbilities1Scenario2[takes]),0)</f>
        <v>0.7142857142857143</v>
      </c>
      <c r="P45" s="21">
        <f>IF(AvengerAbilities1Scenario2[[#This Row],[takes]]&gt;0,AvengerAbilities1Scenario2[[#This Row],[wins]]/AvengerAbilities1Scenario2[[#This Row],[takes]],0)</f>
        <v>0.5</v>
      </c>
      <c r="Q45" s="20"/>
      <c r="R45" s="20">
        <v>1</v>
      </c>
      <c r="S45" s="20">
        <f>COUNTIFS(Scenario2[winner1],"avenger",Scenario2[winner1-pw],AvengerEquipScenario2[[#This Row],[level]])+COUNTIFS(Scenario2[loser1],"avenger",Scenario2[loser1-pw],AvengerEquipScenario2[[#This Row],[level]])</f>
        <v>6</v>
      </c>
      <c r="T45" s="20">
        <f>COUNTIFS(Scenario2[winner1],"avenger",Scenario2[winner1-sw],AvengerEquipScenario2[[#This Row],[level]])+COUNTIFS(Scenario2[loser1],"avenger",Scenario2[loser1-sw],AvengerEquipScenario2[[#This Row],[level]])</f>
        <v>6</v>
      </c>
      <c r="U45" s="22">
        <f>COUNTIFS(Scenario2[winner1],"avenger",Scenario2[winner1-cp],AvengerEquipScenario2[[#This Row],[level]])+COUNTIFS(Scenario2[loser1],"avenger",Scenario2[loser1-cp],AvengerEquipScenario2[[#This Row],[level]])</f>
        <v>9</v>
      </c>
    </row>
    <row r="46" spans="12:21" x14ac:dyDescent="0.4">
      <c r="L46" t="s">
        <v>152</v>
      </c>
      <c r="M46" s="20">
        <f>COUNTIF(Scenario2[winner1-ability1],AvengerAbilities1Scenario2[[#This Row],[ability]])+COUNTIF(Scenario2[loser1-ability1],AvengerAbilities1Scenario2[[#This Row],[ability]])</f>
        <v>4</v>
      </c>
      <c r="N46" s="20">
        <f>COUNTIF(Scenario2[winner1-ability1],AvengerAbilities1Scenario2[[#This Row],[ability]])</f>
        <v>1</v>
      </c>
      <c r="O46" s="21">
        <f>IF(SUM(AvengerAbilities1Scenario2[[#This Row],[takes]]) &gt; 0,AvengerAbilities1Scenario2[[#This Row],[takes]]/SUM(AvengerAbilities1Scenario2[takes]),0)</f>
        <v>0.2857142857142857</v>
      </c>
      <c r="P46" s="21">
        <f>IF(AvengerAbilities1Scenario2[[#This Row],[takes]]&gt;0,AvengerAbilities1Scenario2[[#This Row],[wins]]/AvengerAbilities1Scenario2[[#This Row],[takes]],0)</f>
        <v>0.25</v>
      </c>
      <c r="Q46" s="20"/>
      <c r="R46" s="20">
        <v>2</v>
      </c>
      <c r="S46" s="20">
        <f>COUNTIFS(Scenario2[winner1],"avenger",Scenario2[winner1-pw],AvengerEquipScenario2[[#This Row],[level]])+COUNTIFS(Scenario2[loser1],"avenger",Scenario2[loser1-pw],AvengerEquipScenario2[[#This Row],[level]])</f>
        <v>2</v>
      </c>
      <c r="T46" s="20">
        <f>COUNTIFS(Scenario2[winner1],"avenger",Scenario2[winner1-sw],AvengerEquipScenario2[[#This Row],[level]])+COUNTIFS(Scenario2[loser1],"avenger",Scenario2[loser1-sw],AvengerEquipScenario2[[#This Row],[level]])</f>
        <v>6</v>
      </c>
      <c r="U46" s="22">
        <f>COUNTIFS(Scenario2[winner1],"avenger",Scenario2[winner1-cp],AvengerEquipScenario2[[#This Row],[level]])+COUNTIFS(Scenario2[loser1],"avenger",Scenario2[loser1-cp],AvengerEquipScenario2[[#This Row],[level]])</f>
        <v>4</v>
      </c>
    </row>
    <row r="47" spans="12:21" x14ac:dyDescent="0.4">
      <c r="L47" t="s">
        <v>39</v>
      </c>
      <c r="M47" s="20">
        <f>COUNTIF(Scenario2[winner1-ability1],AvengerAbilities1Scenario2[[#This Row],[ability]])+COUNTIF(Scenario2[loser1-ability1],AvengerAbilities1Scenario2[[#This Row],[ability]])</f>
        <v>0</v>
      </c>
      <c r="N47" s="20">
        <f>COUNTIF(Scenario2[winner1-ability1],AvengerAbilities1Scenario2[[#This Row],[ability]])</f>
        <v>0</v>
      </c>
      <c r="O47" s="21">
        <f>IF(SUM(AvengerAbilities1Scenario2[[#This Row],[takes]]) &gt; 0,AvengerAbilities1Scenario2[[#This Row],[takes]]/SUM(AvengerAbilities1Scenario2[takes]),0)</f>
        <v>0</v>
      </c>
      <c r="P47" s="21">
        <f>IF(AvengerAbilities1Scenario2[[#This Row],[takes]]&gt;0,AvengerAbilities1Scenario2[[#This Row],[wins]]/AvengerAbilities1Scenario2[[#This Row],[takes]],0)</f>
        <v>0</v>
      </c>
      <c r="Q47" s="20"/>
      <c r="R47" s="20">
        <v>3</v>
      </c>
      <c r="S47" s="20">
        <f>COUNTIFS(Scenario2[winner1],"avenger",Scenario2[winner1-pw],AvengerEquipScenario2[[#This Row],[level]])+COUNTIFS(Scenario2[loser1],"avenger",Scenario2[loser1-pw],AvengerEquipScenario2[[#This Row],[level]])</f>
        <v>6</v>
      </c>
      <c r="T47" s="20">
        <f>COUNTIFS(Scenario2[winner1],"avenger",Scenario2[winner1-sw],AvengerEquipScenario2[[#This Row],[level]])+COUNTIFS(Scenario2[loser1],"avenger",Scenario2[loser1-sw],AvengerEquipScenario2[[#This Row],[level]])</f>
        <v>2</v>
      </c>
      <c r="U47" s="22">
        <f>COUNTIFS(Scenario2[winner1],"avenger",Scenario2[winner1-cp],AvengerEquipScenario2[[#This Row],[level]])+COUNTIFS(Scenario2[loser1],"avenger",Scenario2[loser1-cp],AvengerEquipScenario2[[#This Row],[level]])</f>
        <v>1</v>
      </c>
    </row>
    <row r="48" spans="12:21" x14ac:dyDescent="0.4">
      <c r="L48" s="19"/>
      <c r="M48" s="20"/>
      <c r="N48" s="20"/>
      <c r="O48" s="21"/>
      <c r="P48" s="21"/>
      <c r="Q48" s="20"/>
      <c r="R48" s="20"/>
      <c r="S48" s="20"/>
      <c r="T48" s="20"/>
      <c r="U48" s="22"/>
    </row>
    <row r="49" spans="12:21" x14ac:dyDescent="0.4">
      <c r="L49" s="23" t="s">
        <v>109</v>
      </c>
      <c r="M49" s="9" t="s">
        <v>110</v>
      </c>
      <c r="N49" s="9" t="s">
        <v>79</v>
      </c>
      <c r="O49" s="10" t="s">
        <v>117</v>
      </c>
      <c r="P49" s="10" t="s">
        <v>118</v>
      </c>
      <c r="Q49" s="20"/>
      <c r="R49" s="20"/>
      <c r="S49" s="20"/>
      <c r="T49" s="20"/>
      <c r="U49" s="22"/>
    </row>
    <row r="50" spans="12:21" x14ac:dyDescent="0.4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0</v>
      </c>
      <c r="N50" s="2">
        <f>COUNTIF(Scenario2[winner1-ability2],AvengerAbilities2Scenario2[[#This Row],[ability]])</f>
        <v>0</v>
      </c>
      <c r="O50" s="13">
        <f>IF(SUM(AvengerAbilities2Scenario2[[#This Row],[takes]]) &gt; 0,AvengerAbilities2Scenario2[[#This Row],[takes]]/SUM(AvengerAbilities2Scenario2[takes]),0)</f>
        <v>0</v>
      </c>
      <c r="P50" s="13">
        <f>IF(AvengerAbilities2Scenario2[[#This Row],[takes]]&gt;0,AvengerAbilities2Scenario2[[#This Row],[wins]]/AvengerAbilities2Scenario2[[#This Row],[takes]],0)</f>
        <v>0</v>
      </c>
      <c r="Q50" s="20"/>
      <c r="R50" s="20"/>
      <c r="S50" s="20"/>
      <c r="T50" s="20"/>
      <c r="U50" s="22"/>
    </row>
    <row r="51" spans="12:21" x14ac:dyDescent="0.4">
      <c r="L51" t="s">
        <v>70</v>
      </c>
      <c r="M51" s="2">
        <f>COUNTIF(Scenario2[winner1-ability2],AvengerAbilities2Scenario2[[#This Row],[ability]])+COUNTIF(Scenario2[loser1-ability2],AvengerAbilities2Scenario2[[#This Row],[ability]])</f>
        <v>0</v>
      </c>
      <c r="N51" s="2">
        <f>COUNTIF(Scenario2[winner1-ability2],AvengerAbilities2Scenario2[[#This Row],[ability]])</f>
        <v>0</v>
      </c>
      <c r="O51" s="21">
        <f>IF(SUM(AvengerAbilities2Scenario2[[#This Row],[takes]]) &gt; 0,AvengerAbilities2Scenario2[[#This Row],[takes]]/SUM(AvengerAbilities2Scenario2[takes]),0)</f>
        <v>0</v>
      </c>
      <c r="P51" s="21">
        <f>IF(AvengerAbilities2Scenario2[[#This Row],[takes]]&gt;0,AvengerAbilities2Scenario2[[#This Row],[wins]]/AvengerAbilities2Scenario2[[#This Row],[takes]],0)</f>
        <v>0</v>
      </c>
      <c r="Q51" s="20"/>
      <c r="R51" s="20"/>
      <c r="S51" s="20"/>
      <c r="T51" s="20"/>
      <c r="U51" s="22"/>
    </row>
    <row r="52" spans="12:21" x14ac:dyDescent="0.4">
      <c r="L52" s="11" t="s">
        <v>96</v>
      </c>
      <c r="M52" s="2">
        <f>COUNTIF(Scenario2[winner1-ability2],AvengerAbilities2Scenario2[[#This Row],[ability]])+COUNTIF(Scenario2[loser1-ability2],AvengerAbilities2Scenario2[[#This Row],[ability]])</f>
        <v>13</v>
      </c>
      <c r="N52" s="2">
        <f>COUNTIF(Scenario2[winner1-ability2],AvengerAbilities2Scenario2[[#This Row],[ability]])</f>
        <v>6</v>
      </c>
      <c r="O52" s="14">
        <f>IF(SUM(AvengerAbilities2Scenario2[[#This Row],[takes]]) &gt; 0,AvengerAbilities2Scenario2[[#This Row],[takes]]/SUM(AvengerAbilities2Scenario2[takes]),0)</f>
        <v>1</v>
      </c>
      <c r="P52" s="14">
        <f>IF(AvengerAbilities2Scenario2[[#This Row],[takes]]&gt;0,AvengerAbilities2Scenario2[[#This Row],[wins]]/AvengerAbilities2Scenario2[[#This Row],[takes]],0)</f>
        <v>0.46153846153846156</v>
      </c>
      <c r="Q52" s="20"/>
      <c r="R52" s="20"/>
      <c r="S52" s="20"/>
      <c r="T52" s="20"/>
      <c r="U52" s="22"/>
    </row>
    <row r="53" spans="12:21" x14ac:dyDescent="0.4">
      <c r="L53" s="19"/>
      <c r="M53" s="20"/>
      <c r="N53" s="20"/>
      <c r="O53" s="21"/>
      <c r="P53" s="21"/>
      <c r="Q53" s="20"/>
      <c r="R53" s="20"/>
      <c r="S53" s="20"/>
      <c r="T53" s="20"/>
      <c r="U53" s="22"/>
    </row>
    <row r="54" spans="12:21" x14ac:dyDescent="0.4">
      <c r="L54" s="23" t="s">
        <v>109</v>
      </c>
      <c r="M54" s="9" t="s">
        <v>110</v>
      </c>
      <c r="N54" s="9" t="s">
        <v>79</v>
      </c>
      <c r="O54" s="10" t="s">
        <v>117</v>
      </c>
      <c r="P54" s="10" t="s">
        <v>118</v>
      </c>
      <c r="Q54" s="20"/>
      <c r="R54" s="20"/>
      <c r="S54" s="20"/>
      <c r="T54" s="20"/>
      <c r="U54" s="22"/>
    </row>
    <row r="55" spans="12:21" x14ac:dyDescent="0.4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5">
        <f>IF(SUM(AvengerAbilities3Scenario2[[#This Row],[takes]]) &gt; 0,AvengerAbilities3Scenario2[[#This Row],[takes]]/SUM(AvengerAbilities3Scenario2[takes]),0)</f>
        <v>0</v>
      </c>
      <c r="P55" s="15">
        <f>IF(AvengerAbilities3Scenario2[[#This Row],[takes]]&gt;0,AvengerAbilities3Scenario2[[#This Row],[wins]]/AvengerAbilities3Scenario2[[#This Row],[takes]],0)</f>
        <v>0</v>
      </c>
      <c r="Q55" s="20"/>
      <c r="R55" s="20"/>
      <c r="S55" s="20"/>
      <c r="T55" s="20"/>
      <c r="U55" s="22"/>
    </row>
    <row r="56" spans="12:21" x14ac:dyDescent="0.4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4</v>
      </c>
      <c r="N56" s="2">
        <f>COUNTIF(Scenario2[winner1-ability3],AvengerAbilities3Scenario2[[#This Row],[ability]])</f>
        <v>2</v>
      </c>
      <c r="O56" s="13">
        <f>IF(SUM(AvengerAbilities3Scenario2[[#This Row],[takes]]) &gt; 0,AvengerAbilities3Scenario2[[#This Row],[takes]]/SUM(AvengerAbilities3Scenario2[takes]),0)</f>
        <v>0.44444444444444442</v>
      </c>
      <c r="P56" s="13">
        <f>IF(AvengerAbilities3Scenario2[[#This Row],[takes]]&gt;0,AvengerAbilities3Scenario2[[#This Row],[wins]]/AvengerAbilities3Scenario2[[#This Row],[takes]],0)</f>
        <v>0.5</v>
      </c>
      <c r="Q56" s="20"/>
      <c r="R56" s="20"/>
      <c r="S56" s="20"/>
      <c r="T56" s="20"/>
      <c r="U56" s="22"/>
    </row>
    <row r="57" spans="12:21" x14ac:dyDescent="0.4">
      <c r="L57" s="12" t="s">
        <v>154</v>
      </c>
      <c r="M57" s="1">
        <f>COUNTIF(Scenario2[winner1-ability3],AvengerAbilities3Scenario2[[#This Row],[ability]])+COUNTIF(Scenario2[loser1-ability3],AvengerAbilities3Scenario2[[#This Row],[ability]])</f>
        <v>5</v>
      </c>
      <c r="N57" s="1">
        <f>COUNTIF(Scenario2[winner1-ability3],AvengerAbilities3Scenario2[[#This Row],[ability]])</f>
        <v>2</v>
      </c>
      <c r="O57" s="16">
        <f>IF(SUM(AvengerAbilities3Scenario2[[#This Row],[takes]]) &gt; 0,AvengerAbilities3Scenario2[[#This Row],[takes]]/SUM(AvengerAbilities3Scenario2[takes]),0)</f>
        <v>0.55555555555555558</v>
      </c>
      <c r="P57" s="16">
        <f>IF(AvengerAbilities3Scenario2[[#This Row],[takes]]&gt;0,AvengerAbilities3Scenario2[[#This Row],[wins]]/AvengerAbilities3Scenario2[[#This Row],[takes]],0)</f>
        <v>0.4</v>
      </c>
      <c r="Q57" s="20"/>
      <c r="R57" s="20"/>
      <c r="S57" s="20"/>
      <c r="T57" s="20"/>
      <c r="U57" s="22"/>
    </row>
    <row r="58" spans="12:21" x14ac:dyDescent="0.4">
      <c r="L58" s="19"/>
      <c r="M58" s="20"/>
      <c r="N58" s="20"/>
      <c r="O58" s="21"/>
      <c r="P58" s="21"/>
      <c r="Q58" s="20"/>
      <c r="R58" s="20"/>
      <c r="S58" s="20"/>
      <c r="T58" s="20"/>
      <c r="U58" s="22"/>
    </row>
    <row r="59" spans="12:21" x14ac:dyDescent="0.4">
      <c r="L59" s="23" t="s">
        <v>109</v>
      </c>
      <c r="M59" s="9" t="s">
        <v>110</v>
      </c>
      <c r="N59" s="9" t="s">
        <v>79</v>
      </c>
      <c r="O59" s="10" t="s">
        <v>117</v>
      </c>
      <c r="P59" s="10" t="s">
        <v>118</v>
      </c>
      <c r="Q59" s="20"/>
      <c r="R59" s="20"/>
      <c r="S59" s="20"/>
      <c r="T59" s="20"/>
      <c r="U59" s="22"/>
    </row>
    <row r="60" spans="12:21" x14ac:dyDescent="0.4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0</v>
      </c>
      <c r="O60" s="13">
        <f>IF(SUM(AvengerAbilities4Scenario2[[#This Row],[takes]]) &gt; 0,AvengerAbilities4Scenario2[[#This Row],[takes]]/SUM(AvengerAbilities4Scenario2[takes]),0)</f>
        <v>0.2857142857142857</v>
      </c>
      <c r="P60" s="13">
        <f>IF(AvengerAbilities4Scenario2[[#This Row],[takes]]&gt;0,AvengerAbilities4Scenario2[[#This Row],[wins]]/AvengerAbilities4Scenario2[[#This Row],[takes]],0)</f>
        <v>0</v>
      </c>
      <c r="Q60" s="20"/>
      <c r="R60" s="20"/>
      <c r="S60" s="20"/>
      <c r="T60" s="20"/>
      <c r="U60" s="22"/>
    </row>
    <row r="61" spans="12:21" x14ac:dyDescent="0.4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5</v>
      </c>
      <c r="N61" s="2">
        <f>COUNTIF(Scenario2[winner1-ability4],AvengerAbilities4Scenario2[[#This Row],[ability]])</f>
        <v>3</v>
      </c>
      <c r="O61" s="13">
        <f>IF(SUM(AvengerAbilities4Scenario2[[#This Row],[takes]]) &gt; 0,AvengerAbilities4Scenario2[[#This Row],[takes]]/SUM(AvengerAbilities4Scenario2[takes]),0)</f>
        <v>0.7142857142857143</v>
      </c>
      <c r="P61" s="13">
        <f>IF(AvengerAbilities4Scenario2[[#This Row],[takes]]&gt;0,AvengerAbilities4Scenario2[[#This Row],[wins]]/AvengerAbilities4Scenario2[[#This Row],[takes]],0)</f>
        <v>0.6</v>
      </c>
      <c r="Q61" s="20"/>
      <c r="R61" s="20"/>
      <c r="S61" s="20"/>
      <c r="T61" s="20"/>
      <c r="U61" s="22"/>
    </row>
    <row r="62" spans="12:21" ht="15" thickBot="1" x14ac:dyDescent="0.45">
      <c r="L62" s="11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30">
        <f>IF(SUM(AvengerAbilities4Scenario2[[#This Row],[takes]]) &gt; 0,AvengerAbilities4Scenario2[[#This Row],[takes]]/SUM(AvengerAbilities4Scenario2[takes]),0)</f>
        <v>0</v>
      </c>
      <c r="P62" s="30">
        <f>IF(AvengerAbilities4Scenario2[[#This Row],[takes]]&gt;0,AvengerAbilities4Scenario2[[#This Row],[wins]]/AvengerAbilities4Scenario2[[#This Row],[takes]],0)</f>
        <v>0</v>
      </c>
      <c r="Q62" s="31"/>
      <c r="R62" s="31"/>
      <c r="S62" s="31"/>
      <c r="T62" s="31"/>
      <c r="U62" s="32"/>
    </row>
    <row r="63" spans="12:21" ht="15" thickBot="1" x14ac:dyDescent="0.45"/>
    <row r="64" spans="12:21" ht="15" thickBot="1" x14ac:dyDescent="0.45">
      <c r="L64" s="41" t="s">
        <v>686</v>
      </c>
      <c r="M64" s="42"/>
      <c r="N64" s="42"/>
      <c r="O64" s="42"/>
      <c r="P64" s="42"/>
      <c r="Q64" s="42"/>
      <c r="R64" s="42"/>
      <c r="S64" s="42"/>
      <c r="T64" s="42"/>
      <c r="U64" s="43"/>
    </row>
    <row r="65" spans="12:21" x14ac:dyDescent="0.4">
      <c r="L65" s="19" t="s">
        <v>109</v>
      </c>
      <c r="M65" s="20" t="s">
        <v>110</v>
      </c>
      <c r="N65" s="20" t="s">
        <v>79</v>
      </c>
      <c r="O65" s="21" t="s">
        <v>117</v>
      </c>
      <c r="P65" s="21" t="s">
        <v>118</v>
      </c>
      <c r="Q65" s="20"/>
      <c r="R65" s="20" t="s">
        <v>161</v>
      </c>
      <c r="S65" t="s">
        <v>171</v>
      </c>
      <c r="T65" t="s">
        <v>172</v>
      </c>
      <c r="U65" s="22" t="s">
        <v>164</v>
      </c>
    </row>
    <row r="66" spans="12:21" x14ac:dyDescent="0.4">
      <c r="L66" t="s">
        <v>67</v>
      </c>
      <c r="M66" s="20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15</v>
      </c>
      <c r="N66" s="20">
        <f>COUNTIF(Scenario3[winner1-ability1],AvengerAbilities1Scenario3[[#This Row],[ability]])</f>
        <v>3</v>
      </c>
      <c r="O66" s="21">
        <f>IF(SUM(AvengerAbilities1Scenario3[[#This Row],[takes]]) &gt; 0,AvengerAbilities1Scenario3[[#This Row],[takes]]/SUM(AvengerAbilities1Scenario3[takes]),0)</f>
        <v>0.7142857142857143</v>
      </c>
      <c r="P66" s="21">
        <f>IF(AvengerAbilities1Scenario3[[#This Row],[takes]]&gt;0,AvengerAbilities1Scenario3[[#This Row],[wins]]/AvengerAbilities1Scenario3[[#This Row],[takes]],0)</f>
        <v>0.2</v>
      </c>
      <c r="Q66" s="20"/>
      <c r="R66" s="20">
        <v>1</v>
      </c>
      <c r="S66" s="20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2</v>
      </c>
      <c r="T66" s="20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2</v>
      </c>
      <c r="U66" s="22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</v>
      </c>
    </row>
    <row r="67" spans="12:21" x14ac:dyDescent="0.4">
      <c r="L67" t="s">
        <v>152</v>
      </c>
      <c r="M67" s="20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6</v>
      </c>
      <c r="N67" s="20">
        <f>COUNTIF(Scenario3[winner1-ability1],AvengerAbilities1Scenario3[[#This Row],[ability]])</f>
        <v>1</v>
      </c>
      <c r="O67" s="21">
        <f>IF(SUM(AvengerAbilities1Scenario3[[#This Row],[takes]]) &gt; 0,AvengerAbilities1Scenario3[[#This Row],[takes]]/SUM(AvengerAbilities1Scenario3[takes]),0)</f>
        <v>0.2857142857142857</v>
      </c>
      <c r="P67" s="21">
        <f>IF(AvengerAbilities1Scenario3[[#This Row],[takes]]&gt;0,AvengerAbilities1Scenario3[[#This Row],[wins]]/AvengerAbilities1Scenario3[[#This Row],[takes]],0)</f>
        <v>0.16666666666666666</v>
      </c>
      <c r="Q67" s="20"/>
      <c r="R67" s="20">
        <v>2</v>
      </c>
      <c r="S67" s="20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</v>
      </c>
      <c r="T67" s="20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4</v>
      </c>
      <c r="U67" s="22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6</v>
      </c>
    </row>
    <row r="68" spans="12:21" x14ac:dyDescent="0.4">
      <c r="L68" t="s">
        <v>39</v>
      </c>
      <c r="M68" s="20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8" s="20">
        <f>COUNTIF(Scenario3[winner1-ability1],AvengerAbilities1Scenario3[[#This Row],[ability]])</f>
        <v>0</v>
      </c>
      <c r="O68" s="21">
        <f>IF(SUM(AvengerAbilities1Scenario3[[#This Row],[takes]]) &gt; 0,AvengerAbilities1Scenario3[[#This Row],[takes]]/SUM(AvengerAbilities1Scenario3[takes]),0)</f>
        <v>0</v>
      </c>
      <c r="P68" s="21">
        <f>IF(AvengerAbilities1Scenario3[[#This Row],[takes]]&gt;0,AvengerAbilities1Scenario3[[#This Row],[wins]]/AvengerAbilities1Scenario3[[#This Row],[takes]],0)</f>
        <v>0</v>
      </c>
      <c r="Q68" s="20"/>
      <c r="R68" s="20">
        <v>3</v>
      </c>
      <c r="S68" s="20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18</v>
      </c>
      <c r="T68" s="20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15</v>
      </c>
      <c r="U68" s="22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14</v>
      </c>
    </row>
    <row r="69" spans="12:21" x14ac:dyDescent="0.4">
      <c r="L69" s="19"/>
      <c r="M69" s="20"/>
      <c r="N69" s="20"/>
      <c r="O69" s="21"/>
      <c r="P69" s="21"/>
      <c r="Q69" s="20"/>
      <c r="R69" s="20"/>
      <c r="S69" s="20"/>
      <c r="T69" s="20"/>
      <c r="U69" s="22"/>
    </row>
    <row r="70" spans="12:21" x14ac:dyDescent="0.4">
      <c r="L70" s="23" t="s">
        <v>109</v>
      </c>
      <c r="M70" s="9" t="s">
        <v>110</v>
      </c>
      <c r="N70" s="9" t="s">
        <v>79</v>
      </c>
      <c r="O70" s="10" t="s">
        <v>117</v>
      </c>
      <c r="P70" s="10" t="s">
        <v>118</v>
      </c>
      <c r="Q70" s="20"/>
      <c r="R70" s="20"/>
      <c r="S70" s="20"/>
      <c r="T70" s="20"/>
      <c r="U70" s="22"/>
    </row>
    <row r="71" spans="12:21" x14ac:dyDescent="0.4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5</v>
      </c>
      <c r="N71" s="2">
        <f>COUNTIF(Scenario3[winner1-ability2],AvengerAbilities2Scenario3[[#This Row],[ability]])</f>
        <v>2</v>
      </c>
      <c r="O71" s="13">
        <f>IF(SUM(AvengerAbilities2Scenario3[[#This Row],[takes]]) &gt; 0,AvengerAbilities2Scenario3[[#This Row],[takes]]/SUM(AvengerAbilities2Scenario3[takes]),0)</f>
        <v>0.23809523809523808</v>
      </c>
      <c r="P71" s="13">
        <f>IF(AvengerAbilities2Scenario3[[#This Row],[takes]]&gt;0,AvengerAbilities2Scenario3[[#This Row],[wins]]/AvengerAbilities2Scenario3[[#This Row],[takes]],0)</f>
        <v>0.4</v>
      </c>
      <c r="Q71" s="20"/>
      <c r="R71" s="20"/>
      <c r="S71" s="20"/>
      <c r="T71" s="20"/>
      <c r="U71" s="22"/>
    </row>
    <row r="72" spans="12:21" x14ac:dyDescent="0.4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21">
        <f>IF(SUM(AvengerAbilities2Scenario3[[#This Row],[takes]]) &gt; 0,AvengerAbilities2Scenario3[[#This Row],[takes]]/SUM(AvengerAbilities2Scenario3[takes]),0)</f>
        <v>0</v>
      </c>
      <c r="P72" s="21">
        <f>IF(AvengerAbilities2Scenario3[[#This Row],[takes]]&gt;0,AvengerAbilities2Scenario3[[#This Row],[wins]]/AvengerAbilities2Scenario3[[#This Row],[takes]],0)</f>
        <v>0</v>
      </c>
      <c r="Q72" s="20"/>
      <c r="R72" s="20"/>
      <c r="S72" s="20"/>
      <c r="T72" s="20"/>
      <c r="U72" s="22"/>
    </row>
    <row r="73" spans="12:21" x14ac:dyDescent="0.4">
      <c r="L73" s="11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16</v>
      </c>
      <c r="N73" s="2">
        <f>COUNTIF(Scenario3[winner1-ability2],AvengerAbilities2Scenario3[[#This Row],[ability]])</f>
        <v>2</v>
      </c>
      <c r="O73" s="14">
        <f>IF(SUM(AvengerAbilities2Scenario3[[#This Row],[takes]]) &gt; 0,AvengerAbilities2Scenario3[[#This Row],[takes]]/SUM(AvengerAbilities2Scenario3[takes]),0)</f>
        <v>0.76190476190476186</v>
      </c>
      <c r="P73" s="14">
        <f>IF(AvengerAbilities2Scenario3[[#This Row],[takes]]&gt;0,AvengerAbilities2Scenario3[[#This Row],[wins]]/AvengerAbilities2Scenario3[[#This Row],[takes]],0)</f>
        <v>0.125</v>
      </c>
      <c r="Q73" s="20"/>
      <c r="R73" s="20"/>
      <c r="S73" s="20"/>
      <c r="T73" s="20"/>
      <c r="U73" s="22"/>
    </row>
    <row r="74" spans="12:21" x14ac:dyDescent="0.4">
      <c r="L74" s="19"/>
      <c r="M74" s="20"/>
      <c r="N74" s="20"/>
      <c r="O74" s="21"/>
      <c r="P74" s="21"/>
      <c r="Q74" s="20"/>
      <c r="R74" s="20"/>
      <c r="S74" s="20"/>
      <c r="T74" s="20"/>
      <c r="U74" s="22"/>
    </row>
    <row r="75" spans="12:21" x14ac:dyDescent="0.4">
      <c r="L75" s="23" t="s">
        <v>109</v>
      </c>
      <c r="M75" s="9" t="s">
        <v>110</v>
      </c>
      <c r="N75" s="9" t="s">
        <v>79</v>
      </c>
      <c r="O75" s="10" t="s">
        <v>117</v>
      </c>
      <c r="P75" s="10" t="s">
        <v>118</v>
      </c>
      <c r="Q75" s="20"/>
      <c r="R75" s="20"/>
      <c r="S75" s="20"/>
      <c r="T75" s="20"/>
      <c r="U75" s="22"/>
    </row>
    <row r="76" spans="12:21" x14ac:dyDescent="0.4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</v>
      </c>
      <c r="N76" s="1">
        <f>COUNTIF(Scenario3[winner1-ability3],AvengerAbilities3Scenario3[[#This Row],[ability]])</f>
        <v>0</v>
      </c>
      <c r="O76" s="15">
        <f>IF(SUM(AvengerAbilities3Scenario3[[#This Row],[takes]]) &gt; 0,AvengerAbilities3Scenario3[[#This Row],[takes]]/SUM(AvengerAbilities3Scenario3[takes]),0)</f>
        <v>4.7619047619047616E-2</v>
      </c>
      <c r="P76" s="15">
        <f>IF(AvengerAbilities3Scenario3[[#This Row],[takes]]&gt;0,AvengerAbilities3Scenario3[[#This Row],[wins]]/AvengerAbilities3Scenario3[[#This Row],[takes]],0)</f>
        <v>0</v>
      </c>
      <c r="Q76" s="20"/>
      <c r="R76" s="20"/>
      <c r="S76" s="20"/>
      <c r="T76" s="20"/>
      <c r="U76" s="22"/>
    </row>
    <row r="77" spans="12:21" x14ac:dyDescent="0.4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19</v>
      </c>
      <c r="N77" s="2">
        <f>COUNTIF(Scenario3[winner1-ability3],AvengerAbilities3Scenario3[[#This Row],[ability]])</f>
        <v>4</v>
      </c>
      <c r="O77" s="13">
        <f>IF(SUM(AvengerAbilities3Scenario3[[#This Row],[takes]]) &gt; 0,AvengerAbilities3Scenario3[[#This Row],[takes]]/SUM(AvengerAbilities3Scenario3[takes]),0)</f>
        <v>0.90476190476190477</v>
      </c>
      <c r="P77" s="13">
        <f>IF(AvengerAbilities3Scenario3[[#This Row],[takes]]&gt;0,AvengerAbilities3Scenario3[[#This Row],[wins]]/AvengerAbilities3Scenario3[[#This Row],[takes]],0)</f>
        <v>0.21052631578947367</v>
      </c>
      <c r="Q77" s="20"/>
      <c r="R77" s="20"/>
      <c r="S77" s="20"/>
      <c r="T77" s="20"/>
      <c r="U77" s="22"/>
    </row>
    <row r="78" spans="12:21" x14ac:dyDescent="0.4">
      <c r="L78" s="12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</v>
      </c>
      <c r="N78" s="1">
        <f>COUNTIF(Scenario3[winner1-ability3],AvengerAbilities3Scenario3[[#This Row],[ability]])</f>
        <v>0</v>
      </c>
      <c r="O78" s="16">
        <f>IF(SUM(AvengerAbilities3Scenario3[[#This Row],[takes]]) &gt; 0,AvengerAbilities3Scenario3[[#This Row],[takes]]/SUM(AvengerAbilities3Scenario3[takes]),0)</f>
        <v>4.7619047619047616E-2</v>
      </c>
      <c r="P78" s="16">
        <f>IF(AvengerAbilities3Scenario3[[#This Row],[takes]]&gt;0,AvengerAbilities3Scenario3[[#This Row],[wins]]/AvengerAbilities3Scenario3[[#This Row],[takes]],0)</f>
        <v>0</v>
      </c>
      <c r="Q78" s="20"/>
      <c r="R78" s="20"/>
      <c r="S78" s="20"/>
      <c r="T78" s="20"/>
      <c r="U78" s="22"/>
    </row>
    <row r="79" spans="12:21" x14ac:dyDescent="0.4">
      <c r="L79" s="19"/>
      <c r="M79" s="20"/>
      <c r="N79" s="20"/>
      <c r="O79" s="21"/>
      <c r="P79" s="21"/>
      <c r="Q79" s="20"/>
      <c r="R79" s="20"/>
      <c r="S79" s="20"/>
      <c r="T79" s="20"/>
      <c r="U79" s="22"/>
    </row>
    <row r="80" spans="12:21" x14ac:dyDescent="0.4">
      <c r="L80" s="23" t="s">
        <v>109</v>
      </c>
      <c r="M80" s="9" t="s">
        <v>110</v>
      </c>
      <c r="N80" s="9" t="s">
        <v>79</v>
      </c>
      <c r="O80" s="10" t="s">
        <v>117</v>
      </c>
      <c r="P80" s="10" t="s">
        <v>118</v>
      </c>
      <c r="Q80" s="20"/>
      <c r="R80" s="20"/>
      <c r="S80" s="20"/>
      <c r="T80" s="20"/>
      <c r="U80" s="22"/>
    </row>
    <row r="81" spans="12:21" x14ac:dyDescent="0.4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3">
        <f>IF(SUM(AvengerAbilities4Scenario3[[#This Row],[takes]]) &gt; 0,AvengerAbilities4Scenario3[[#This Row],[takes]]/SUM(AvengerAbilities4Scenario3[takes]),0)</f>
        <v>0</v>
      </c>
      <c r="P81" s="13">
        <f>IF(AvengerAbilities4Scenario3[[#This Row],[takes]]&gt;0,AvengerAbilities4Scenario3[[#This Row],[wins]]/AvengerAbilities4Scenario3[[#This Row],[takes]],0)</f>
        <v>0</v>
      </c>
      <c r="Q81" s="20"/>
      <c r="R81" s="20"/>
      <c r="S81" s="20"/>
      <c r="T81" s="20"/>
      <c r="U81" s="22"/>
    </row>
    <row r="82" spans="12:21" x14ac:dyDescent="0.4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19</v>
      </c>
      <c r="N82" s="2">
        <f>COUNTIF(Scenario3[winner1-ability4],AvengerAbilities4Scenario3[[#This Row],[ability]])</f>
        <v>3</v>
      </c>
      <c r="O82" s="13">
        <f>IF(SUM(AvengerAbilities4Scenario3[[#This Row],[takes]]) &gt; 0,AvengerAbilities4Scenario3[[#This Row],[takes]]/SUM(AvengerAbilities4Scenario3[takes]),0)</f>
        <v>1</v>
      </c>
      <c r="P82" s="13">
        <f>IF(AvengerAbilities4Scenario3[[#This Row],[takes]]&gt;0,AvengerAbilities4Scenario3[[#This Row],[wins]]/AvengerAbilities4Scenario3[[#This Row],[takes]],0)</f>
        <v>0.15789473684210525</v>
      </c>
      <c r="Q82" s="20"/>
      <c r="R82" s="20"/>
      <c r="S82" s="20"/>
      <c r="T82" s="20"/>
      <c r="U82" s="22"/>
    </row>
    <row r="83" spans="12:21" ht="15" thickBot="1" x14ac:dyDescent="0.45">
      <c r="L83" s="11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30">
        <f>IF(SUM(AvengerAbilities4Scenario3[[#This Row],[takes]]) &gt; 0,AvengerAbilities4Scenario3[[#This Row],[takes]]/SUM(AvengerAbilities4Scenario3[takes]),0)</f>
        <v>0</v>
      </c>
      <c r="P83" s="30">
        <f>IF(AvengerAbilities4Scenario3[[#This Row],[takes]]&gt;0,AvengerAbilities4Scenario3[[#This Row],[wins]]/AvengerAbilities4Scenario3[[#This Row],[takes]],0)</f>
        <v>0</v>
      </c>
      <c r="Q83" s="31"/>
      <c r="R83" s="31"/>
      <c r="S83" s="31"/>
      <c r="T83" s="31"/>
      <c r="U83" s="32"/>
    </row>
    <row r="84" spans="12:21" ht="15" thickBot="1" x14ac:dyDescent="0.45"/>
    <row r="85" spans="12:21" ht="15" thickBot="1" x14ac:dyDescent="0.45">
      <c r="L85" s="41" t="s">
        <v>752</v>
      </c>
      <c r="M85" s="42"/>
      <c r="N85" s="42"/>
      <c r="O85" s="42"/>
      <c r="P85" s="42"/>
      <c r="Q85" s="42"/>
      <c r="R85" s="42"/>
      <c r="S85" s="42"/>
      <c r="T85" s="42"/>
      <c r="U85" s="43"/>
    </row>
    <row r="86" spans="12:21" x14ac:dyDescent="0.4">
      <c r="L86" s="19" t="s">
        <v>109</v>
      </c>
      <c r="M86" s="20" t="s">
        <v>110</v>
      </c>
      <c r="N86" s="20" t="s">
        <v>79</v>
      </c>
      <c r="O86" s="21" t="s">
        <v>117</v>
      </c>
      <c r="P86" s="21" t="s">
        <v>118</v>
      </c>
      <c r="Q86" s="20"/>
      <c r="R86" s="20" t="s">
        <v>161</v>
      </c>
      <c r="S86" t="s">
        <v>171</v>
      </c>
      <c r="T86" t="s">
        <v>172</v>
      </c>
      <c r="U86" s="22" t="s">
        <v>164</v>
      </c>
    </row>
    <row r="87" spans="12:21" x14ac:dyDescent="0.4">
      <c r="L87" t="s">
        <v>67</v>
      </c>
      <c r="M87" s="20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22</v>
      </c>
      <c r="N87" s="20">
        <f>COUNTIF(Scenario4[winner1-ability1],AvengerAbilities1Scenario4[[#This Row],[ability]])</f>
        <v>6</v>
      </c>
      <c r="O87" s="21">
        <f>IF(SUM(AvengerAbilities1Scenario4[[#This Row],[takes]]) &gt; 0,AvengerAbilities1Scenario4[[#This Row],[takes]]/SUM(AvengerAbilities1Scenario4[takes]),0)</f>
        <v>0.62857142857142856</v>
      </c>
      <c r="P87" s="21">
        <f>IF(AvengerAbilities1Scenario4[[#This Row],[takes]]&gt;0,AvengerAbilities1Scenario4[[#This Row],[wins]]/AvengerAbilities1Scenario4[[#This Row],[takes]],0)</f>
        <v>0.27272727272727271</v>
      </c>
      <c r="Q87" s="20"/>
      <c r="R87" s="20">
        <v>1</v>
      </c>
      <c r="S87" s="20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7</v>
      </c>
      <c r="T87" s="20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7</v>
      </c>
      <c r="U87" s="22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4</v>
      </c>
    </row>
    <row r="88" spans="12:21" x14ac:dyDescent="0.4">
      <c r="L88" t="s">
        <v>152</v>
      </c>
      <c r="M88" s="20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13</v>
      </c>
      <c r="N88" s="20">
        <f>COUNTIF(Scenario4[winner1-ability1],AvengerAbilities1Scenario4[[#This Row],[ability]])</f>
        <v>3</v>
      </c>
      <c r="O88" s="21">
        <f>IF(SUM(AvengerAbilities1Scenario4[[#This Row],[takes]]) &gt; 0,AvengerAbilities1Scenario4[[#This Row],[takes]]/SUM(AvengerAbilities1Scenario4[takes]),0)</f>
        <v>0.37142857142857144</v>
      </c>
      <c r="P88" s="21">
        <f>IF(AvengerAbilities1Scenario4[[#This Row],[takes]]&gt;0,AvengerAbilities1Scenario4[[#This Row],[wins]]/AvengerAbilities1Scenario4[[#This Row],[takes]],0)</f>
        <v>0.23076923076923078</v>
      </c>
      <c r="Q88" s="20"/>
      <c r="R88" s="20">
        <v>2</v>
      </c>
      <c r="S88" s="20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1</v>
      </c>
      <c r="T88" s="20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5</v>
      </c>
      <c r="U88" s="22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</v>
      </c>
    </row>
    <row r="89" spans="12:21" x14ac:dyDescent="0.4">
      <c r="L89" t="s">
        <v>39</v>
      </c>
      <c r="M89" s="20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 s="20">
        <f>COUNTIF(Scenario4[winner1-ability1],AvengerAbilities1Scenario4[[#This Row],[ability]])</f>
        <v>0</v>
      </c>
      <c r="O89" s="21">
        <f>IF(SUM(AvengerAbilities1Scenario4[[#This Row],[takes]]) &gt; 0,AvengerAbilities1Scenario4[[#This Row],[takes]]/SUM(AvengerAbilities1Scenario4[takes]),0)</f>
        <v>0</v>
      </c>
      <c r="P89" s="21">
        <f>IF(AvengerAbilities1Scenario4[[#This Row],[takes]]&gt;0,AvengerAbilities1Scenario4[[#This Row],[wins]]/AvengerAbilities1Scenario4[[#This Row],[takes]],0)</f>
        <v>0</v>
      </c>
      <c r="Q89" s="20"/>
      <c r="R89" s="20">
        <v>3</v>
      </c>
      <c r="S89" s="20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27</v>
      </c>
      <c r="T89" s="20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23</v>
      </c>
      <c r="U89" s="22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28</v>
      </c>
    </row>
    <row r="90" spans="12:21" x14ac:dyDescent="0.4">
      <c r="L90" s="19"/>
      <c r="M90" s="20"/>
      <c r="N90" s="20"/>
      <c r="O90" s="21"/>
      <c r="P90" s="21"/>
      <c r="Q90" s="20"/>
      <c r="R90" s="20"/>
      <c r="S90" s="20"/>
      <c r="T90" s="20"/>
      <c r="U90" s="22"/>
    </row>
    <row r="91" spans="12:21" x14ac:dyDescent="0.4">
      <c r="L91" s="23" t="s">
        <v>109</v>
      </c>
      <c r="M91" s="9" t="s">
        <v>110</v>
      </c>
      <c r="N91" s="9" t="s">
        <v>79</v>
      </c>
      <c r="O91" s="10" t="s">
        <v>117</v>
      </c>
      <c r="P91" s="10" t="s">
        <v>118</v>
      </c>
      <c r="Q91" s="20"/>
      <c r="R91" s="20"/>
      <c r="S91" s="20"/>
      <c r="T91" s="20"/>
      <c r="U91" s="22"/>
    </row>
    <row r="92" spans="12:21" x14ac:dyDescent="0.4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12</v>
      </c>
      <c r="N92" s="2">
        <f>COUNTIF(Scenario4[winner1-ability2],AvengerAbilities2Scenario4[[#This Row],[ability]])</f>
        <v>5</v>
      </c>
      <c r="O92" s="13">
        <f>IF(SUM(AvengerAbilities2Scenario4[[#This Row],[takes]]) &gt; 0,AvengerAbilities2Scenario4[[#This Row],[takes]]/SUM(AvengerAbilities2Scenario4[takes]),0)</f>
        <v>0.34285714285714286</v>
      </c>
      <c r="P92" s="13">
        <f>IF(AvengerAbilities2Scenario4[[#This Row],[takes]]&gt;0,AvengerAbilities2Scenario4[[#This Row],[wins]]/AvengerAbilities2Scenario4[[#This Row],[takes]],0)</f>
        <v>0.41666666666666669</v>
      </c>
      <c r="Q92" s="20"/>
      <c r="R92" s="20"/>
      <c r="S92" s="20"/>
      <c r="T92" s="20"/>
      <c r="U92" s="22"/>
    </row>
    <row r="93" spans="12:21" x14ac:dyDescent="0.4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21">
        <f>IF(SUM(AvengerAbilities2Scenario4[[#This Row],[takes]]) &gt; 0,AvengerAbilities2Scenario4[[#This Row],[takes]]/SUM(AvengerAbilities2Scenario4[takes]),0)</f>
        <v>0</v>
      </c>
      <c r="P93" s="21">
        <f>IF(AvengerAbilities2Scenario4[[#This Row],[takes]]&gt;0,AvengerAbilities2Scenario4[[#This Row],[wins]]/AvengerAbilities2Scenario4[[#This Row],[takes]],0)</f>
        <v>0</v>
      </c>
      <c r="Q93" s="20"/>
      <c r="R93" s="20"/>
      <c r="S93" s="20"/>
      <c r="T93" s="20"/>
      <c r="U93" s="22"/>
    </row>
    <row r="94" spans="12:21" x14ac:dyDescent="0.4">
      <c r="L94" s="11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23</v>
      </c>
      <c r="N94" s="2">
        <f>COUNTIF(Scenario4[winner1-ability2],AvengerAbilities2Scenario4[[#This Row],[ability]])</f>
        <v>4</v>
      </c>
      <c r="O94" s="14">
        <f>IF(SUM(AvengerAbilities2Scenario4[[#This Row],[takes]]) &gt; 0,AvengerAbilities2Scenario4[[#This Row],[takes]]/SUM(AvengerAbilities2Scenario4[takes]),0)</f>
        <v>0.65714285714285714</v>
      </c>
      <c r="P94" s="14">
        <f>IF(AvengerAbilities2Scenario4[[#This Row],[takes]]&gt;0,AvengerAbilities2Scenario4[[#This Row],[wins]]/AvengerAbilities2Scenario4[[#This Row],[takes]],0)</f>
        <v>0.17391304347826086</v>
      </c>
      <c r="Q94" s="20"/>
      <c r="R94" s="20"/>
      <c r="S94" s="20"/>
      <c r="T94" s="20"/>
      <c r="U94" s="22"/>
    </row>
    <row r="95" spans="12:21" x14ac:dyDescent="0.4">
      <c r="L95" s="19"/>
      <c r="M95" s="20"/>
      <c r="N95" s="20"/>
      <c r="O95" s="21"/>
      <c r="P95" s="21"/>
      <c r="Q95" s="20"/>
      <c r="R95" s="20"/>
      <c r="S95" s="20"/>
      <c r="T95" s="20"/>
      <c r="U95" s="22"/>
    </row>
    <row r="96" spans="12:21" x14ac:dyDescent="0.4">
      <c r="L96" s="23" t="s">
        <v>109</v>
      </c>
      <c r="M96" s="9" t="s">
        <v>110</v>
      </c>
      <c r="N96" s="9" t="s">
        <v>79</v>
      </c>
      <c r="O96" s="10" t="s">
        <v>117</v>
      </c>
      <c r="P96" s="10" t="s">
        <v>118</v>
      </c>
      <c r="Q96" s="20"/>
      <c r="R96" s="20"/>
      <c r="S96" s="20"/>
      <c r="T96" s="20"/>
      <c r="U96" s="22"/>
    </row>
    <row r="97" spans="12:21" x14ac:dyDescent="0.4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</v>
      </c>
      <c r="N97" s="1">
        <f>COUNTIF(Scenario4[winner1-ability3],AvengerAbilities3Scenario4[[#This Row],[ability]])</f>
        <v>1</v>
      </c>
      <c r="O97" s="15">
        <f>IF(SUM(AvengerAbilities3Scenario4[[#This Row],[takes]]) &gt; 0,AvengerAbilities3Scenario4[[#This Row],[takes]]/SUM(AvengerAbilities3Scenario4[takes]),0)</f>
        <v>2.8571428571428571E-2</v>
      </c>
      <c r="P97" s="15">
        <f>IF(AvengerAbilities3Scenario4[[#This Row],[takes]]&gt;0,AvengerAbilities3Scenario4[[#This Row],[wins]]/AvengerAbilities3Scenario4[[#This Row],[takes]],0)</f>
        <v>1</v>
      </c>
      <c r="Q97" s="20"/>
      <c r="R97" s="20"/>
      <c r="S97" s="20"/>
      <c r="T97" s="20"/>
      <c r="U97" s="22"/>
    </row>
    <row r="98" spans="12:21" x14ac:dyDescent="0.4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31</v>
      </c>
      <c r="N98" s="2">
        <f>COUNTIF(Scenario4[winner1-ability3],AvengerAbilities3Scenario4[[#This Row],[ability]])</f>
        <v>8</v>
      </c>
      <c r="O98" s="13">
        <f>IF(SUM(AvengerAbilities3Scenario4[[#This Row],[takes]]) &gt; 0,AvengerAbilities3Scenario4[[#This Row],[takes]]/SUM(AvengerAbilities3Scenario4[takes]),0)</f>
        <v>0.88571428571428568</v>
      </c>
      <c r="P98" s="13">
        <f>IF(AvengerAbilities3Scenario4[[#This Row],[takes]]&gt;0,AvengerAbilities3Scenario4[[#This Row],[wins]]/AvengerAbilities3Scenario4[[#This Row],[takes]],0)</f>
        <v>0.25806451612903225</v>
      </c>
      <c r="Q98" s="20"/>
      <c r="R98" s="20"/>
      <c r="S98" s="20"/>
      <c r="T98" s="20"/>
      <c r="U98" s="22"/>
    </row>
    <row r="99" spans="12:21" x14ac:dyDescent="0.4">
      <c r="L99" s="12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</v>
      </c>
      <c r="N99" s="1">
        <f>COUNTIF(Scenario4[winner1-ability3],AvengerAbilities3Scenario4[[#This Row],[ability]])</f>
        <v>0</v>
      </c>
      <c r="O99" s="16">
        <f>IF(SUM(AvengerAbilities3Scenario4[[#This Row],[takes]]) &gt; 0,AvengerAbilities3Scenario4[[#This Row],[takes]]/SUM(AvengerAbilities3Scenario4[takes]),0)</f>
        <v>8.5714285714285715E-2</v>
      </c>
      <c r="P99" s="16">
        <f>IF(AvengerAbilities3Scenario4[[#This Row],[takes]]&gt;0,AvengerAbilities3Scenario4[[#This Row],[wins]]/AvengerAbilities3Scenario4[[#This Row],[takes]],0)</f>
        <v>0</v>
      </c>
      <c r="Q99" s="20"/>
      <c r="R99" s="20"/>
      <c r="S99" s="20"/>
      <c r="T99" s="20"/>
      <c r="U99" s="22"/>
    </row>
    <row r="100" spans="12:21" x14ac:dyDescent="0.4">
      <c r="L100" s="19"/>
      <c r="M100" s="20"/>
      <c r="N100" s="20"/>
      <c r="O100" s="21"/>
      <c r="P100" s="21"/>
      <c r="Q100" s="20"/>
      <c r="R100" s="20"/>
      <c r="S100" s="20"/>
      <c r="T100" s="20"/>
      <c r="U100" s="22"/>
    </row>
    <row r="101" spans="12:21" x14ac:dyDescent="0.4">
      <c r="L101" s="23" t="s">
        <v>109</v>
      </c>
      <c r="M101" s="9" t="s">
        <v>110</v>
      </c>
      <c r="N101" s="9" t="s">
        <v>79</v>
      </c>
      <c r="O101" s="10" t="s">
        <v>117</v>
      </c>
      <c r="P101" s="10" t="s">
        <v>118</v>
      </c>
      <c r="Q101" s="20"/>
      <c r="R101" s="20"/>
      <c r="S101" s="20"/>
      <c r="T101" s="20"/>
      <c r="U101" s="22"/>
    </row>
    <row r="102" spans="12:21" x14ac:dyDescent="0.4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3">
        <f>IF(SUM(AvengerAbilities4Scenario4[[#This Row],[takes]]) &gt; 0,AvengerAbilities4Scenario4[[#This Row],[takes]]/SUM(AvengerAbilities4Scenario4[takes]),0)</f>
        <v>0</v>
      </c>
      <c r="P102" s="13">
        <f>IF(AvengerAbilities4Scenario4[[#This Row],[takes]]&gt;0,AvengerAbilities4Scenario4[[#This Row],[wins]]/AvengerAbilities4Scenario4[[#This Row],[takes]],0)</f>
        <v>0</v>
      </c>
      <c r="Q102" s="20"/>
      <c r="R102" s="20"/>
      <c r="S102" s="20"/>
      <c r="T102" s="20"/>
      <c r="U102" s="22"/>
    </row>
    <row r="103" spans="12:21" x14ac:dyDescent="0.4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32</v>
      </c>
      <c r="N103" s="2">
        <f>COUNTIF(Scenario4[winner1-ability4],AvengerAbilities4Scenario4[[#This Row],[ability]])</f>
        <v>9</v>
      </c>
      <c r="O103" s="13">
        <f>IF(SUM(AvengerAbilities4Scenario4[[#This Row],[takes]]) &gt; 0,AvengerAbilities4Scenario4[[#This Row],[takes]]/SUM(AvengerAbilities4Scenario4[takes]),0)</f>
        <v>1</v>
      </c>
      <c r="P103" s="13">
        <f>IF(AvengerAbilities4Scenario4[[#This Row],[takes]]&gt;0,AvengerAbilities4Scenario4[[#This Row],[wins]]/AvengerAbilities4Scenario4[[#This Row],[takes]],0)</f>
        <v>0.28125</v>
      </c>
      <c r="Q103" s="20"/>
      <c r="R103" s="20"/>
      <c r="S103" s="20"/>
      <c r="T103" s="20"/>
      <c r="U103" s="22"/>
    </row>
    <row r="104" spans="12:21" ht="15" thickBot="1" x14ac:dyDescent="0.45">
      <c r="L104" s="11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30">
        <f>IF(SUM(AvengerAbilities4Scenario4[[#This Row],[takes]]) &gt; 0,AvengerAbilities4Scenario4[[#This Row],[takes]]/SUM(AvengerAbilities4Scenario4[takes]),0)</f>
        <v>0</v>
      </c>
      <c r="P104" s="30">
        <f>IF(AvengerAbilities4Scenario4[[#This Row],[takes]]&gt;0,AvengerAbilities4Scenario4[[#This Row],[wins]]/AvengerAbilities4Scenario4[[#This Row],[takes]],0)</f>
        <v>0</v>
      </c>
      <c r="Q104" s="31"/>
      <c r="R104" s="31"/>
      <c r="S104" s="31"/>
      <c r="T104" s="31"/>
      <c r="U104" s="32"/>
    </row>
    <row r="105" spans="12:21" ht="15" thickBot="1" x14ac:dyDescent="0.45"/>
    <row r="106" spans="12:21" ht="15" thickBot="1" x14ac:dyDescent="0.45">
      <c r="L106" s="41" t="s">
        <v>824</v>
      </c>
      <c r="M106" s="42"/>
      <c r="N106" s="42"/>
      <c r="O106" s="42"/>
      <c r="P106" s="42"/>
      <c r="Q106" s="42"/>
      <c r="R106" s="42"/>
      <c r="S106" s="42"/>
      <c r="T106" s="42"/>
      <c r="U106" s="43"/>
    </row>
    <row r="107" spans="12:21" x14ac:dyDescent="0.4">
      <c r="L107" s="19" t="s">
        <v>109</v>
      </c>
      <c r="M107" s="20" t="s">
        <v>110</v>
      </c>
      <c r="N107" s="20" t="s">
        <v>79</v>
      </c>
      <c r="O107" s="21" t="s">
        <v>117</v>
      </c>
      <c r="P107" s="21" t="s">
        <v>118</v>
      </c>
      <c r="Q107" s="20"/>
      <c r="R107" s="20" t="s">
        <v>161</v>
      </c>
      <c r="S107" t="s">
        <v>171</v>
      </c>
      <c r="T107" t="s">
        <v>172</v>
      </c>
      <c r="U107" s="22" t="s">
        <v>164</v>
      </c>
    </row>
    <row r="108" spans="12:21" x14ac:dyDescent="0.4">
      <c r="L108" t="s">
        <v>67</v>
      </c>
      <c r="M108" s="2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08" s="20">
        <f>COUNTIF(Scenario5[winner1-ability1],AvengerAbilities1Scenario5[[#This Row],[ability]])+COUNTIF(Scenario5[winner2-ability1],AvengerAbilities1Scenario5[[#This Row],[ability]])</f>
        <v>0</v>
      </c>
      <c r="O108" s="21">
        <f>IF(SUM(AvengerAbilities1Scenario5[[#This Row],[takes]]) &gt; 0,AvengerAbilities1Scenario5[[#This Row],[takes]]/SUM(AvengerAbilities1Scenario5[takes]),0)</f>
        <v>0</v>
      </c>
      <c r="P108" s="21">
        <f>IF(AvengerAbilities1Scenario5[[#This Row],[takes]]&gt;0,AvengerAbilities1Scenario5[[#This Row],[wins]]/AvengerAbilities1Scenario5[[#This Row],[takes]],0)</f>
        <v>0</v>
      </c>
      <c r="Q108" s="20"/>
      <c r="R108" s="20">
        <v>1</v>
      </c>
      <c r="S108" s="2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0</v>
      </c>
      <c r="T108" s="2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</v>
      </c>
      <c r="U108" s="22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3</v>
      </c>
    </row>
    <row r="109" spans="12:21" x14ac:dyDescent="0.4">
      <c r="L109" t="s">
        <v>152</v>
      </c>
      <c r="M109" s="2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</v>
      </c>
      <c r="N109" s="20">
        <f>COUNTIF(Scenario5[winner1-ability1],AvengerAbilities1Scenario5[[#This Row],[ability]])+COUNTIF(Scenario5[winner2-ability1],AvengerAbilities1Scenario5[[#This Row],[ability]])</f>
        <v>1</v>
      </c>
      <c r="O109" s="21">
        <f>IF(SUM(AvengerAbilities1Scenario5[[#This Row],[takes]]) &gt; 0,AvengerAbilities1Scenario5[[#This Row],[takes]]/SUM(AvengerAbilities1Scenario5[takes]),0)</f>
        <v>1</v>
      </c>
      <c r="P109" s="21">
        <f>IF(AvengerAbilities1Scenario5[[#This Row],[takes]]&gt;0,AvengerAbilities1Scenario5[[#This Row],[wins]]/AvengerAbilities1Scenario5[[#This Row],[takes]],0)</f>
        <v>0.33333333333333331</v>
      </c>
      <c r="Q109" s="20"/>
      <c r="R109" s="20">
        <v>2</v>
      </c>
      <c r="S109" s="2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</v>
      </c>
      <c r="T109" s="2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</v>
      </c>
      <c r="U109" s="22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10" spans="12:21" x14ac:dyDescent="0.4">
      <c r="L110" t="s">
        <v>39</v>
      </c>
      <c r="M110" s="2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10" s="20">
        <f>COUNTIF(Scenario5[winner1-ability1],AvengerAbilities1Scenario5[[#This Row],[ability]])+COUNTIF(Scenario5[winner2-ability1],AvengerAbilities1Scenario5[[#This Row],[ability]])</f>
        <v>0</v>
      </c>
      <c r="O110" s="21">
        <f>IF(SUM(AvengerAbilities1Scenario5[[#This Row],[takes]]) &gt; 0,AvengerAbilities1Scenario5[[#This Row],[takes]]/SUM(AvengerAbilities1Scenario5[takes]),0)</f>
        <v>0</v>
      </c>
      <c r="P110" s="21">
        <f>IF(AvengerAbilities1Scenario5[[#This Row],[takes]]&gt;0,AvengerAbilities1Scenario5[[#This Row],[wins]]/AvengerAbilities1Scenario5[[#This Row],[takes]],0)</f>
        <v>0</v>
      </c>
      <c r="Q110" s="20"/>
      <c r="R110" s="20">
        <v>3</v>
      </c>
      <c r="S110" s="2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</v>
      </c>
      <c r="T110" s="2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0</v>
      </c>
      <c r="U110" s="22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11" spans="12:21" x14ac:dyDescent="0.4">
      <c r="L111" s="19"/>
      <c r="M111" s="20"/>
      <c r="N111" s="20"/>
      <c r="O111" s="21"/>
      <c r="P111" s="21"/>
      <c r="Q111" s="20"/>
      <c r="R111" s="20"/>
      <c r="S111" s="20"/>
      <c r="T111" s="20"/>
      <c r="U111" s="22"/>
    </row>
    <row r="112" spans="12:21" x14ac:dyDescent="0.4">
      <c r="L112" s="23" t="s">
        <v>109</v>
      </c>
      <c r="M112" s="9" t="s">
        <v>110</v>
      </c>
      <c r="N112" s="9" t="s">
        <v>79</v>
      </c>
      <c r="O112" s="10" t="s">
        <v>117</v>
      </c>
      <c r="P112" s="10" t="s">
        <v>118</v>
      </c>
      <c r="Q112" s="20"/>
      <c r="R112" s="20"/>
      <c r="S112" s="20"/>
      <c r="T112" s="20"/>
      <c r="U112" s="22"/>
    </row>
    <row r="113" spans="12:21" x14ac:dyDescent="0.4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3" s="2">
        <f>COUNTIF(Scenario5[winner1-ability2],AvengerAbilities2Scenario5[[#This Row],[ability]])+COUNTIF(Scenario5[winner2-ability2],AvengerAbilities2Scenario5[[#This Row],[ability]])</f>
        <v>0</v>
      </c>
      <c r="O113" s="13">
        <f>IF(SUM(AvengerAbilities2Scenario5[[#This Row],[takes]]) &gt; 0,AvengerAbilities2Scenario5[[#This Row],[takes]]/SUM(AvengerAbilities2Scenario5[takes]),0)</f>
        <v>0</v>
      </c>
      <c r="P113" s="13">
        <f>IF(AvengerAbilities2Scenario5[[#This Row],[takes]]&gt;0,AvengerAbilities2Scenario5[[#This Row],[wins]]/AvengerAbilities2Scenario5[[#This Row],[takes]],0)</f>
        <v>0</v>
      </c>
      <c r="Q113" s="20"/>
      <c r="R113" s="20"/>
      <c r="S113" s="20"/>
      <c r="T113" s="20"/>
      <c r="U113" s="22"/>
    </row>
    <row r="114" spans="12:21" x14ac:dyDescent="0.4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4" s="2">
        <f>COUNTIF(Scenario5[winner1-ability2],AvengerAbilities2Scenario5[[#This Row],[ability]])+COUNTIF(Scenario5[winner2-ability2],AvengerAbilities2Scenario5[[#This Row],[ability]])</f>
        <v>0</v>
      </c>
      <c r="O114" s="21">
        <f>IF(SUM(AvengerAbilities2Scenario5[[#This Row],[takes]]) &gt; 0,AvengerAbilities2Scenario5[[#This Row],[takes]]/SUM(AvengerAbilities2Scenario5[takes]),0)</f>
        <v>0</v>
      </c>
      <c r="P114" s="21">
        <f>IF(AvengerAbilities2Scenario5[[#This Row],[takes]]&gt;0,AvengerAbilities2Scenario5[[#This Row],[wins]]/AvengerAbilities2Scenario5[[#This Row],[takes]],0)</f>
        <v>0</v>
      </c>
      <c r="Q114" s="20"/>
      <c r="R114" s="20"/>
      <c r="S114" s="20"/>
      <c r="T114" s="20"/>
      <c r="U114" s="22"/>
    </row>
    <row r="115" spans="12:21" x14ac:dyDescent="0.4">
      <c r="L115" s="11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</v>
      </c>
      <c r="N115" s="2">
        <f>COUNTIF(Scenario5[winner1-ability2],AvengerAbilities2Scenario5[[#This Row],[ability]])+COUNTIF(Scenario5[winner2-ability2],AvengerAbilities2Scenario5[[#This Row],[ability]])</f>
        <v>1</v>
      </c>
      <c r="O115" s="14">
        <f>IF(SUM(AvengerAbilities2Scenario5[[#This Row],[takes]]) &gt; 0,AvengerAbilities2Scenario5[[#This Row],[takes]]/SUM(AvengerAbilities2Scenario5[takes]),0)</f>
        <v>1</v>
      </c>
      <c r="P115" s="14">
        <f>IF(AvengerAbilities2Scenario5[[#This Row],[takes]]&gt;0,AvengerAbilities2Scenario5[[#This Row],[wins]]/AvengerAbilities2Scenario5[[#This Row],[takes]],0)</f>
        <v>0.5</v>
      </c>
      <c r="Q115" s="20"/>
      <c r="R115" s="20"/>
      <c r="S115" s="20"/>
      <c r="T115" s="20"/>
      <c r="U115" s="22"/>
    </row>
    <row r="116" spans="12:21" x14ac:dyDescent="0.4">
      <c r="L116" s="19"/>
      <c r="M116" s="20"/>
      <c r="N116" s="20"/>
      <c r="O116" s="21"/>
      <c r="P116" s="21"/>
      <c r="Q116" s="20"/>
      <c r="R116" s="20"/>
      <c r="S116" s="20"/>
      <c r="T116" s="20"/>
      <c r="U116" s="22"/>
    </row>
    <row r="117" spans="12:21" x14ac:dyDescent="0.4">
      <c r="L117" s="23" t="s">
        <v>109</v>
      </c>
      <c r="M117" s="9" t="s">
        <v>110</v>
      </c>
      <c r="N117" s="9" t="s">
        <v>79</v>
      </c>
      <c r="O117" s="10" t="s">
        <v>117</v>
      </c>
      <c r="P117" s="10" t="s">
        <v>118</v>
      </c>
      <c r="Q117" s="20"/>
      <c r="R117" s="20"/>
      <c r="S117" s="20"/>
      <c r="T117" s="20"/>
      <c r="U117" s="22"/>
    </row>
    <row r="118" spans="12:21" x14ac:dyDescent="0.4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18" s="1">
        <f>COUNTIF(Scenario5[winner1-ability3],AvengerAbilities3Scenario5[[#This Row],[ability]])+COUNTIF(Scenario5[winner2-ability3],AvengerAbilities3Scenario5[[#This Row],[ability]])</f>
        <v>0</v>
      </c>
      <c r="O118" s="15">
        <f>IF(SUM(AvengerAbilities3Scenario5[[#This Row],[takes]]) &gt; 0,AvengerAbilities3Scenario5[[#This Row],[takes]]/SUM(AvengerAbilities3Scenario5[takes]),0)</f>
        <v>0</v>
      </c>
      <c r="P118" s="15">
        <f>IF(AvengerAbilities3Scenario5[[#This Row],[takes]]&gt;0,AvengerAbilities3Scenario5[[#This Row],[wins]]/AvengerAbilities3Scenario5[[#This Row],[takes]],0)</f>
        <v>0</v>
      </c>
      <c r="Q118" s="20"/>
      <c r="R118" s="20"/>
      <c r="S118" s="20"/>
      <c r="T118" s="20"/>
      <c r="U118" s="22"/>
    </row>
    <row r="119" spans="12:21" x14ac:dyDescent="0.4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</v>
      </c>
      <c r="N119" s="2">
        <f>COUNTIF(Scenario5[winner1-ability3],AvengerAbilities3Scenario5[[#This Row],[ability]])+COUNTIF(Scenario5[winner2-ability3],AvengerAbilities3Scenario5[[#This Row],[ability]])</f>
        <v>1</v>
      </c>
      <c r="O119" s="13">
        <f>IF(SUM(AvengerAbilities3Scenario5[[#This Row],[takes]]) &gt; 0,AvengerAbilities3Scenario5[[#This Row],[takes]]/SUM(AvengerAbilities3Scenario5[takes]),0)</f>
        <v>1</v>
      </c>
      <c r="P119" s="13">
        <f>IF(AvengerAbilities3Scenario5[[#This Row],[takes]]&gt;0,AvengerAbilities3Scenario5[[#This Row],[wins]]/AvengerAbilities3Scenario5[[#This Row],[takes]],0)</f>
        <v>0.5</v>
      </c>
      <c r="Q119" s="20"/>
      <c r="R119" s="20"/>
      <c r="S119" s="20"/>
      <c r="T119" s="20"/>
      <c r="U119" s="22"/>
    </row>
    <row r="120" spans="12:21" x14ac:dyDescent="0.4">
      <c r="L120" s="12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20" s="1">
        <f>COUNTIF(Scenario5[winner1-ability3],AvengerAbilities3Scenario5[[#This Row],[ability]])+COUNTIF(Scenario5[winner2-ability3],AvengerAbilities3Scenario5[[#This Row],[ability]])</f>
        <v>0</v>
      </c>
      <c r="O120" s="16">
        <f>IF(SUM(AvengerAbilities3Scenario5[[#This Row],[takes]]) &gt; 0,AvengerAbilities3Scenario5[[#This Row],[takes]]/SUM(AvengerAbilities3Scenario5[takes]),0)</f>
        <v>0</v>
      </c>
      <c r="P120" s="16">
        <f>IF(AvengerAbilities3Scenario5[[#This Row],[takes]]&gt;0,AvengerAbilities3Scenario5[[#This Row],[wins]]/AvengerAbilities3Scenario5[[#This Row],[takes]],0)</f>
        <v>0</v>
      </c>
      <c r="Q120" s="20"/>
      <c r="R120" s="20"/>
      <c r="S120" s="20"/>
      <c r="T120" s="20"/>
      <c r="U120" s="22"/>
    </row>
    <row r="121" spans="12:21" x14ac:dyDescent="0.4">
      <c r="L121" s="19"/>
      <c r="M121" s="20"/>
      <c r="N121" s="20"/>
      <c r="O121" s="21"/>
      <c r="P121" s="21"/>
      <c r="Q121" s="20"/>
      <c r="R121" s="20"/>
      <c r="S121" s="20"/>
      <c r="T121" s="20"/>
      <c r="U121" s="22"/>
    </row>
    <row r="122" spans="12:21" x14ac:dyDescent="0.4">
      <c r="L122" s="23" t="s">
        <v>109</v>
      </c>
      <c r="M122" s="9" t="s">
        <v>110</v>
      </c>
      <c r="N122" s="9" t="s">
        <v>79</v>
      </c>
      <c r="O122" s="10" t="s">
        <v>117</v>
      </c>
      <c r="P122" s="10" t="s">
        <v>118</v>
      </c>
      <c r="Q122" s="20"/>
      <c r="R122" s="20"/>
      <c r="S122" s="20"/>
      <c r="T122" s="20"/>
      <c r="U122" s="22"/>
    </row>
    <row r="123" spans="12:21" x14ac:dyDescent="0.4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3" s="2">
        <f>COUNTIF(Scenario5[winner1-ability4],AvengerAbilities4Scenario5[[#This Row],[ability]])+COUNTIF(Scenario5[winner2-ability4],AvengerAbilities4Scenario5[[#This Row],[ability]])</f>
        <v>0</v>
      </c>
      <c r="O123" s="13">
        <f>IF(SUM(AvengerAbilities4Scenario5[[#This Row],[takes]]) &gt; 0,AvengerAbilities4Scenario5[[#This Row],[takes]]/SUM(AvengerAbilities4Scenario5[takes]),0)</f>
        <v>0</v>
      </c>
      <c r="P123" s="13">
        <f>IF(AvengerAbilities4Scenario5[[#This Row],[takes]]&gt;0,AvengerAbilities4Scenario5[[#This Row],[wins]]/AvengerAbilities4Scenario5[[#This Row],[takes]],0)</f>
        <v>0</v>
      </c>
      <c r="Q123" s="20"/>
      <c r="R123" s="20"/>
      <c r="S123" s="20"/>
      <c r="T123" s="20"/>
      <c r="U123" s="22"/>
    </row>
    <row r="124" spans="12:21" x14ac:dyDescent="0.4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</v>
      </c>
      <c r="N124" s="2">
        <f>COUNTIF(Scenario5[winner1-ability4],AvengerAbilities4Scenario5[[#This Row],[ability]])+COUNTIF(Scenario5[winner2-ability4],AvengerAbilities4Scenario5[[#This Row],[ability]])</f>
        <v>1</v>
      </c>
      <c r="O124" s="13">
        <f>IF(SUM(AvengerAbilities4Scenario5[[#This Row],[takes]]) &gt; 0,AvengerAbilities4Scenario5[[#This Row],[takes]]/SUM(AvengerAbilities4Scenario5[takes]),0)</f>
        <v>1</v>
      </c>
      <c r="P124" s="13">
        <f>IF(AvengerAbilities4Scenario5[[#This Row],[takes]]&gt;0,AvengerAbilities4Scenario5[[#This Row],[wins]]/AvengerAbilities4Scenario5[[#This Row],[takes]],0)</f>
        <v>1</v>
      </c>
      <c r="Q124" s="20"/>
      <c r="R124" s="20"/>
      <c r="S124" s="20"/>
      <c r="T124" s="20"/>
      <c r="U124" s="22"/>
    </row>
    <row r="125" spans="12:21" ht="15" thickBot="1" x14ac:dyDescent="0.45">
      <c r="L125" s="11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5" s="2">
        <f>COUNTIF(Scenario5[winner1-ability4],AvengerAbilities4Scenario5[[#This Row],[ability]])+COUNTIF(Scenario5[winner2-ability4],AvengerAbilities4Scenario5[[#This Row],[ability]])</f>
        <v>0</v>
      </c>
      <c r="O125" s="30">
        <f>IF(SUM(AvengerAbilities4Scenario5[[#This Row],[takes]]) &gt; 0,AvengerAbilities4Scenario5[[#This Row],[takes]]/SUM(AvengerAbilities4Scenario5[takes]),0)</f>
        <v>0</v>
      </c>
      <c r="P125" s="30">
        <f>IF(AvengerAbilities4Scenario5[[#This Row],[takes]]&gt;0,AvengerAbilities4Scenario5[[#This Row],[wins]]/AvengerAbilities4Scenario5[[#This Row],[takes]],0)</f>
        <v>0</v>
      </c>
      <c r="Q125" s="31"/>
      <c r="R125" s="31"/>
      <c r="S125" s="31"/>
      <c r="T125" s="31"/>
      <c r="U125" s="32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E1" workbookViewId="0">
      <selection activeCell="AL10" sqref="AL10"/>
    </sheetView>
  </sheetViews>
  <sheetFormatPr defaultRowHeight="14.6" x14ac:dyDescent="0.4"/>
  <cols>
    <col min="1" max="1" width="36.84375" bestFit="1" customWidth="1"/>
    <col min="2" max="2" width="7.69140625" bestFit="1" customWidth="1"/>
    <col min="3" max="3" width="9.84375" bestFit="1" customWidth="1"/>
    <col min="4" max="4" width="13" bestFit="1" customWidth="1"/>
    <col min="5" max="5" width="12.69140625" bestFit="1" customWidth="1"/>
    <col min="6" max="6" width="12.3828125" bestFit="1" customWidth="1"/>
    <col min="7" max="7" width="17.07421875" bestFit="1" customWidth="1"/>
    <col min="8" max="10" width="16.61328125" bestFit="1" customWidth="1"/>
    <col min="11" max="11" width="9.84375" bestFit="1" customWidth="1"/>
    <col min="12" max="12" width="14" customWidth="1"/>
    <col min="13" max="13" width="13.69140625" customWidth="1"/>
    <col min="14" max="14" width="13.3046875" customWidth="1"/>
    <col min="15" max="15" width="18" customWidth="1"/>
    <col min="16" max="16" width="18.3046875" customWidth="1"/>
    <col min="17" max="18" width="18" customWidth="1"/>
    <col min="19" max="19" width="10.53515625" bestFit="1" customWidth="1"/>
    <col min="20" max="20" width="14" customWidth="1"/>
    <col min="21" max="21" width="13.69140625" customWidth="1"/>
    <col min="22" max="22" width="13.3046875" customWidth="1"/>
    <col min="23" max="23" width="18.3828125" customWidth="1"/>
    <col min="24" max="24" width="18.69140625" customWidth="1"/>
    <col min="25" max="25" width="18" customWidth="1"/>
    <col min="26" max="26" width="14.765625" bestFit="1" customWidth="1"/>
    <col min="27" max="27" width="8.69140625" bestFit="1" customWidth="1"/>
    <col min="28" max="28" width="12.15234375" customWidth="1"/>
    <col min="29" max="29" width="11.84375" customWidth="1"/>
    <col min="30" max="30" width="11.3828125" customWidth="1"/>
    <col min="31" max="31" width="16.15234375" customWidth="1"/>
    <col min="32" max="32" width="18.84375" customWidth="1"/>
    <col min="33" max="34" width="16.15234375" customWidth="1"/>
    <col min="35" max="35" width="9.23046875" bestFit="1" customWidth="1"/>
    <col min="36" max="36" width="12.15234375" customWidth="1"/>
    <col min="37" max="38" width="16.15234375" customWidth="1"/>
    <col min="39" max="39" width="19.3828125" customWidth="1"/>
    <col min="40" max="40" width="16.15234375" customWidth="1"/>
    <col min="41" max="41" width="11.3828125" bestFit="1" customWidth="1"/>
    <col min="42" max="42" width="12.15234375" customWidth="1"/>
    <col min="43" max="43" width="11.84375" hidden="1" customWidth="1"/>
    <col min="44" max="44" width="11.3828125" hidden="1" customWidth="1"/>
    <col min="45" max="45" width="16.15234375" hidden="1" customWidth="1"/>
    <col min="46" max="46" width="19.15234375" hidden="1" customWidth="1"/>
    <col min="47" max="47" width="16.15234375" hidden="1" customWidth="1"/>
    <col min="48" max="48" width="19.84375" hidden="1" customWidth="1"/>
    <col min="49" max="49" width="9.84375" bestFit="1" customWidth="1"/>
    <col min="50" max="50" width="7.84375" bestFit="1" customWidth="1"/>
    <col min="51" max="51" width="12.69140625" bestFit="1" customWidth="1"/>
    <col min="52" max="52" width="9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181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54</v>
      </c>
      <c r="K2" t="s">
        <v>56</v>
      </c>
      <c r="L2">
        <v>1</v>
      </c>
      <c r="N2">
        <v>1</v>
      </c>
      <c r="O2" t="s">
        <v>120</v>
      </c>
      <c r="P2" t="s">
        <v>69</v>
      </c>
      <c r="S2" t="s">
        <v>48</v>
      </c>
      <c r="T2">
        <v>3</v>
      </c>
      <c r="V2">
        <v>1</v>
      </c>
      <c r="W2" t="s">
        <v>49</v>
      </c>
      <c r="AA2" t="s">
        <v>33</v>
      </c>
      <c r="AB2">
        <v>3</v>
      </c>
      <c r="AD2">
        <v>1</v>
      </c>
      <c r="AE2" t="s">
        <v>46</v>
      </c>
      <c r="AI2">
        <v>6</v>
      </c>
      <c r="AJ2">
        <v>30</v>
      </c>
    </row>
    <row r="3" spans="1:36" x14ac:dyDescent="0.4">
      <c r="A3" t="s">
        <v>182</v>
      </c>
      <c r="B3">
        <v>1</v>
      </c>
      <c r="C3" t="s">
        <v>53</v>
      </c>
      <c r="D3">
        <v>2</v>
      </c>
      <c r="E3">
        <v>1</v>
      </c>
      <c r="F3">
        <v>1</v>
      </c>
      <c r="G3" t="s">
        <v>111</v>
      </c>
      <c r="K3" t="s">
        <v>56</v>
      </c>
      <c r="L3">
        <v>1</v>
      </c>
      <c r="N3">
        <v>2</v>
      </c>
      <c r="O3" t="s">
        <v>120</v>
      </c>
      <c r="P3" t="s">
        <v>69</v>
      </c>
      <c r="S3" t="s">
        <v>48</v>
      </c>
      <c r="T3">
        <v>3</v>
      </c>
      <c r="V3">
        <v>1</v>
      </c>
      <c r="W3" t="s">
        <v>49</v>
      </c>
      <c r="AA3" t="s">
        <v>43</v>
      </c>
      <c r="AB3">
        <v>2</v>
      </c>
      <c r="AD3">
        <v>1</v>
      </c>
      <c r="AE3" t="s">
        <v>135</v>
      </c>
      <c r="AF3" t="s">
        <v>99</v>
      </c>
      <c r="AG3" t="s">
        <v>75</v>
      </c>
      <c r="AI3">
        <v>8</v>
      </c>
      <c r="AJ3">
        <v>38</v>
      </c>
    </row>
    <row r="4" spans="1:36" x14ac:dyDescent="0.4">
      <c r="A4" t="s">
        <v>183</v>
      </c>
      <c r="B4">
        <v>2</v>
      </c>
      <c r="C4" t="s">
        <v>53</v>
      </c>
      <c r="D4">
        <v>2</v>
      </c>
      <c r="E4">
        <v>1</v>
      </c>
      <c r="F4">
        <v>1</v>
      </c>
      <c r="G4" t="s">
        <v>54</v>
      </c>
      <c r="K4" t="s">
        <v>56</v>
      </c>
      <c r="L4">
        <v>1</v>
      </c>
      <c r="N4">
        <v>1</v>
      </c>
      <c r="O4" t="s">
        <v>57</v>
      </c>
      <c r="S4" t="s">
        <v>48</v>
      </c>
      <c r="T4">
        <v>2</v>
      </c>
      <c r="V4">
        <v>1</v>
      </c>
      <c r="W4" t="s">
        <v>49</v>
      </c>
      <c r="AA4" t="s">
        <v>45</v>
      </c>
      <c r="AB4">
        <v>2</v>
      </c>
      <c r="AD4">
        <v>1</v>
      </c>
      <c r="AE4" t="s">
        <v>47</v>
      </c>
      <c r="AI4">
        <v>3</v>
      </c>
      <c r="AJ4">
        <v>22</v>
      </c>
    </row>
    <row r="5" spans="1:36" x14ac:dyDescent="0.4">
      <c r="A5" t="s">
        <v>184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K5" t="s">
        <v>56</v>
      </c>
      <c r="L5">
        <v>1</v>
      </c>
      <c r="N5">
        <v>2</v>
      </c>
      <c r="O5" t="s">
        <v>57</v>
      </c>
      <c r="P5" t="s">
        <v>122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I5">
        <v>5</v>
      </c>
      <c r="AJ5">
        <v>29</v>
      </c>
    </row>
    <row r="6" spans="1:36" x14ac:dyDescent="0.4">
      <c r="A6" t="s">
        <v>185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54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5</v>
      </c>
      <c r="AJ6">
        <v>28</v>
      </c>
    </row>
    <row r="7" spans="1:36" x14ac:dyDescent="0.4">
      <c r="A7" t="s">
        <v>186</v>
      </c>
      <c r="B7">
        <v>5</v>
      </c>
      <c r="C7" t="s">
        <v>33</v>
      </c>
      <c r="D7">
        <v>2</v>
      </c>
      <c r="F7">
        <v>1</v>
      </c>
      <c r="G7" t="s">
        <v>46</v>
      </c>
      <c r="H7" t="s">
        <v>35</v>
      </c>
      <c r="K7" t="s">
        <v>43</v>
      </c>
      <c r="L7">
        <v>1</v>
      </c>
      <c r="N7">
        <v>1</v>
      </c>
      <c r="O7" t="s">
        <v>135</v>
      </c>
      <c r="P7" t="s">
        <v>99</v>
      </c>
      <c r="S7" t="s">
        <v>53</v>
      </c>
      <c r="T7">
        <v>1</v>
      </c>
      <c r="U7">
        <v>1</v>
      </c>
      <c r="V7">
        <v>1</v>
      </c>
      <c r="W7" t="s">
        <v>54</v>
      </c>
      <c r="AA7" t="s">
        <v>56</v>
      </c>
      <c r="AB7">
        <v>2</v>
      </c>
      <c r="AD7">
        <v>1</v>
      </c>
      <c r="AE7" t="s">
        <v>68</v>
      </c>
      <c r="AI7">
        <v>4</v>
      </c>
      <c r="AJ7">
        <v>21</v>
      </c>
    </row>
    <row r="8" spans="1:36" x14ac:dyDescent="0.4">
      <c r="A8" t="s">
        <v>187</v>
      </c>
      <c r="B8">
        <v>6</v>
      </c>
      <c r="C8" t="s">
        <v>33</v>
      </c>
      <c r="D8">
        <v>3</v>
      </c>
      <c r="F8">
        <v>2</v>
      </c>
      <c r="G8" t="s">
        <v>46</v>
      </c>
      <c r="K8" t="s">
        <v>45</v>
      </c>
      <c r="L8">
        <v>3</v>
      </c>
      <c r="N8">
        <v>1</v>
      </c>
      <c r="O8" t="s">
        <v>86</v>
      </c>
      <c r="P8" t="s">
        <v>76</v>
      </c>
      <c r="S8" t="s">
        <v>53</v>
      </c>
      <c r="T8">
        <v>1</v>
      </c>
      <c r="U8">
        <v>2</v>
      </c>
      <c r="V8">
        <v>3</v>
      </c>
      <c r="W8" t="s">
        <v>54</v>
      </c>
      <c r="AA8" t="s">
        <v>56</v>
      </c>
      <c r="AB8">
        <v>1</v>
      </c>
      <c r="AD8">
        <v>3</v>
      </c>
      <c r="AE8" t="s">
        <v>68</v>
      </c>
      <c r="AI8">
        <v>11</v>
      </c>
      <c r="AJ8">
        <v>36</v>
      </c>
    </row>
    <row r="9" spans="1:36" x14ac:dyDescent="0.4">
      <c r="A9" t="s">
        <v>188</v>
      </c>
      <c r="B9">
        <v>7</v>
      </c>
      <c r="C9" t="s">
        <v>33</v>
      </c>
      <c r="D9">
        <v>3</v>
      </c>
      <c r="F9">
        <v>1</v>
      </c>
      <c r="G9" t="s">
        <v>65</v>
      </c>
      <c r="H9" t="s">
        <v>66</v>
      </c>
      <c r="K9" t="s">
        <v>63</v>
      </c>
      <c r="L9">
        <v>1</v>
      </c>
      <c r="N9">
        <v>1</v>
      </c>
      <c r="O9" t="s">
        <v>103</v>
      </c>
      <c r="S9" t="s">
        <v>53</v>
      </c>
      <c r="T9">
        <v>1</v>
      </c>
      <c r="U9">
        <v>1</v>
      </c>
      <c r="V9">
        <v>1</v>
      </c>
      <c r="W9" t="s">
        <v>54</v>
      </c>
      <c r="AA9" t="s">
        <v>56</v>
      </c>
      <c r="AB9">
        <v>3</v>
      </c>
      <c r="AD9">
        <v>2</v>
      </c>
      <c r="AE9" t="s">
        <v>57</v>
      </c>
      <c r="AI9">
        <v>6</v>
      </c>
      <c r="AJ9">
        <v>28</v>
      </c>
    </row>
    <row r="10" spans="1:36" x14ac:dyDescent="0.4">
      <c r="A10" t="s">
        <v>189</v>
      </c>
      <c r="B10">
        <v>8</v>
      </c>
      <c r="C10" t="s">
        <v>33</v>
      </c>
      <c r="D10">
        <v>2</v>
      </c>
      <c r="F10">
        <v>2</v>
      </c>
      <c r="G10" t="s">
        <v>65</v>
      </c>
      <c r="H10" t="s">
        <v>35</v>
      </c>
      <c r="I10" t="s">
        <v>131</v>
      </c>
      <c r="K10" t="s">
        <v>38</v>
      </c>
      <c r="L10">
        <v>2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2</v>
      </c>
      <c r="W10" t="s">
        <v>54</v>
      </c>
      <c r="AA10" t="s">
        <v>56</v>
      </c>
      <c r="AB10">
        <v>1</v>
      </c>
      <c r="AD10">
        <v>2</v>
      </c>
      <c r="AE10" t="s">
        <v>68</v>
      </c>
      <c r="AI10">
        <v>8</v>
      </c>
      <c r="AJ10">
        <v>30</v>
      </c>
    </row>
    <row r="11" spans="1:36" x14ac:dyDescent="0.4">
      <c r="A11" t="s">
        <v>190</v>
      </c>
      <c r="B11">
        <v>9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83</v>
      </c>
      <c r="I11" t="s">
        <v>97</v>
      </c>
      <c r="J11" t="s">
        <v>116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1</v>
      </c>
      <c r="W11" t="s">
        <v>135</v>
      </c>
      <c r="X11" t="s">
        <v>99</v>
      </c>
      <c r="AA11" t="s">
        <v>45</v>
      </c>
      <c r="AB11">
        <v>2</v>
      </c>
      <c r="AD11">
        <v>1</v>
      </c>
      <c r="AE11" t="s">
        <v>47</v>
      </c>
      <c r="AI11">
        <v>6</v>
      </c>
      <c r="AJ11">
        <v>30</v>
      </c>
    </row>
    <row r="12" spans="1:36" x14ac:dyDescent="0.4">
      <c r="A12" t="s">
        <v>191</v>
      </c>
      <c r="B12">
        <v>10</v>
      </c>
      <c r="C12" t="s">
        <v>53</v>
      </c>
      <c r="D12">
        <v>1</v>
      </c>
      <c r="E12">
        <v>1</v>
      </c>
      <c r="F12">
        <v>2</v>
      </c>
      <c r="G12" t="s">
        <v>54</v>
      </c>
      <c r="H12" t="s">
        <v>83</v>
      </c>
      <c r="I12" t="s">
        <v>97</v>
      </c>
      <c r="K12" t="s">
        <v>56</v>
      </c>
      <c r="L12">
        <v>1</v>
      </c>
      <c r="N12">
        <v>2</v>
      </c>
      <c r="O12" t="s">
        <v>120</v>
      </c>
      <c r="S12" t="s">
        <v>43</v>
      </c>
      <c r="T12">
        <v>2</v>
      </c>
      <c r="V12">
        <v>1</v>
      </c>
      <c r="W12" t="s">
        <v>135</v>
      </c>
      <c r="X12" t="s">
        <v>99</v>
      </c>
      <c r="AA12" t="s">
        <v>63</v>
      </c>
      <c r="AB12">
        <v>2</v>
      </c>
      <c r="AD12">
        <v>1</v>
      </c>
      <c r="AE12" t="s">
        <v>103</v>
      </c>
      <c r="AI12">
        <v>7</v>
      </c>
      <c r="AJ12">
        <v>32</v>
      </c>
    </row>
    <row r="13" spans="1:36" x14ac:dyDescent="0.4">
      <c r="A13" t="s">
        <v>192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K13" t="s">
        <v>56</v>
      </c>
      <c r="L13">
        <v>2</v>
      </c>
      <c r="N13">
        <v>1</v>
      </c>
      <c r="O13" t="s">
        <v>68</v>
      </c>
      <c r="S13" t="s">
        <v>43</v>
      </c>
      <c r="T13">
        <v>1</v>
      </c>
      <c r="V13">
        <v>1</v>
      </c>
      <c r="W13" t="s">
        <v>135</v>
      </c>
      <c r="X13" t="s">
        <v>99</v>
      </c>
      <c r="AA13" t="s">
        <v>38</v>
      </c>
      <c r="AB13">
        <v>3</v>
      </c>
      <c r="AC13">
        <v>1</v>
      </c>
      <c r="AD13">
        <v>1</v>
      </c>
      <c r="AE13" t="s">
        <v>152</v>
      </c>
      <c r="AI13">
        <v>5</v>
      </c>
      <c r="AJ13">
        <v>20</v>
      </c>
    </row>
    <row r="14" spans="1:36" x14ac:dyDescent="0.4">
      <c r="A14" t="s">
        <v>193</v>
      </c>
      <c r="B14">
        <v>12</v>
      </c>
      <c r="C14" t="s">
        <v>53</v>
      </c>
      <c r="D14">
        <v>2</v>
      </c>
      <c r="E14">
        <v>1</v>
      </c>
      <c r="F14">
        <v>2</v>
      </c>
      <c r="G14" t="s">
        <v>54</v>
      </c>
      <c r="K14" t="s">
        <v>56</v>
      </c>
      <c r="L14">
        <v>1</v>
      </c>
      <c r="N14">
        <v>1</v>
      </c>
      <c r="O14" t="s">
        <v>57</v>
      </c>
      <c r="P14" t="s">
        <v>122</v>
      </c>
      <c r="S14" t="s">
        <v>45</v>
      </c>
      <c r="T14">
        <v>3</v>
      </c>
      <c r="V14">
        <v>1</v>
      </c>
      <c r="W14" t="s">
        <v>86</v>
      </c>
      <c r="AA14" t="s">
        <v>63</v>
      </c>
      <c r="AB14">
        <v>2</v>
      </c>
      <c r="AD14">
        <v>1</v>
      </c>
      <c r="AE14" t="s">
        <v>103</v>
      </c>
      <c r="AI14">
        <v>6</v>
      </c>
      <c r="AJ14">
        <v>30</v>
      </c>
    </row>
    <row r="15" spans="1:36" x14ac:dyDescent="0.4">
      <c r="A15" t="s">
        <v>194</v>
      </c>
      <c r="B15">
        <v>13</v>
      </c>
      <c r="C15" t="s">
        <v>53</v>
      </c>
      <c r="D15">
        <v>2</v>
      </c>
      <c r="E15">
        <v>1</v>
      </c>
      <c r="F15">
        <v>2</v>
      </c>
      <c r="G15" t="s">
        <v>54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3</v>
      </c>
      <c r="V15">
        <v>1</v>
      </c>
      <c r="W15" t="s">
        <v>47</v>
      </c>
      <c r="AA15" t="s">
        <v>38</v>
      </c>
      <c r="AB15">
        <v>1</v>
      </c>
      <c r="AC15">
        <v>1</v>
      </c>
      <c r="AD15">
        <v>1</v>
      </c>
      <c r="AE15" t="s">
        <v>152</v>
      </c>
      <c r="AF15" t="s">
        <v>96</v>
      </c>
      <c r="AG15" t="s">
        <v>41</v>
      </c>
      <c r="AI15">
        <v>6</v>
      </c>
      <c r="AJ15">
        <v>40</v>
      </c>
    </row>
    <row r="16" spans="1:36" x14ac:dyDescent="0.4">
      <c r="A16" t="s">
        <v>195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K16" t="s">
        <v>56</v>
      </c>
      <c r="L16">
        <v>1</v>
      </c>
      <c r="N16">
        <v>1</v>
      </c>
      <c r="O16" t="s">
        <v>57</v>
      </c>
      <c r="S16" t="s">
        <v>63</v>
      </c>
      <c r="T16">
        <v>2</v>
      </c>
      <c r="V16">
        <v>1</v>
      </c>
      <c r="W16" t="s">
        <v>103</v>
      </c>
      <c r="AA16" t="s">
        <v>38</v>
      </c>
      <c r="AB16">
        <v>1</v>
      </c>
      <c r="AC16">
        <v>2</v>
      </c>
      <c r="AD16">
        <v>1</v>
      </c>
      <c r="AE16" t="s">
        <v>152</v>
      </c>
      <c r="AI16">
        <v>3</v>
      </c>
      <c r="AJ16">
        <v>17</v>
      </c>
    </row>
    <row r="17" spans="1:36" x14ac:dyDescent="0.4">
      <c r="A17" t="s">
        <v>196</v>
      </c>
      <c r="B17">
        <v>15</v>
      </c>
      <c r="C17" t="s">
        <v>56</v>
      </c>
      <c r="D17">
        <v>3</v>
      </c>
      <c r="F17">
        <v>1</v>
      </c>
      <c r="G17" t="s">
        <v>57</v>
      </c>
      <c r="K17" t="s">
        <v>33</v>
      </c>
      <c r="L17">
        <v>2</v>
      </c>
      <c r="N17">
        <v>1</v>
      </c>
      <c r="O17" t="s">
        <v>65</v>
      </c>
      <c r="S17" t="s">
        <v>53</v>
      </c>
      <c r="T17">
        <v>2</v>
      </c>
      <c r="U17">
        <v>1</v>
      </c>
      <c r="V17">
        <v>3</v>
      </c>
      <c r="W17" t="s">
        <v>54</v>
      </c>
      <c r="AA17" t="s">
        <v>48</v>
      </c>
      <c r="AB17">
        <v>2</v>
      </c>
      <c r="AD17">
        <v>1</v>
      </c>
      <c r="AE17" t="s">
        <v>89</v>
      </c>
      <c r="AI17">
        <v>7</v>
      </c>
      <c r="AJ17">
        <v>31</v>
      </c>
    </row>
    <row r="18" spans="1:36" x14ac:dyDescent="0.4">
      <c r="A18" t="s">
        <v>197</v>
      </c>
      <c r="B18">
        <v>16</v>
      </c>
      <c r="C18" t="s">
        <v>53</v>
      </c>
      <c r="D18">
        <v>1</v>
      </c>
      <c r="E18">
        <v>1</v>
      </c>
      <c r="F18">
        <v>1</v>
      </c>
      <c r="G18" t="s">
        <v>54</v>
      </c>
      <c r="K18" t="s">
        <v>48</v>
      </c>
      <c r="L18">
        <v>2</v>
      </c>
      <c r="N18">
        <v>1</v>
      </c>
      <c r="O18" t="s">
        <v>89</v>
      </c>
      <c r="S18" t="s">
        <v>56</v>
      </c>
      <c r="T18">
        <v>1</v>
      </c>
      <c r="V18">
        <v>1</v>
      </c>
      <c r="W18" t="s">
        <v>57</v>
      </c>
      <c r="X18" t="s">
        <v>122</v>
      </c>
      <c r="AA18" t="s">
        <v>43</v>
      </c>
      <c r="AB18">
        <v>1</v>
      </c>
      <c r="AD18">
        <v>2</v>
      </c>
      <c r="AE18" t="s">
        <v>135</v>
      </c>
      <c r="AF18" t="s">
        <v>136</v>
      </c>
      <c r="AI18">
        <v>4</v>
      </c>
      <c r="AJ18">
        <v>34</v>
      </c>
    </row>
    <row r="19" spans="1:36" x14ac:dyDescent="0.4">
      <c r="A19" s="4" t="s">
        <v>198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K19" t="s">
        <v>48</v>
      </c>
      <c r="L19">
        <v>2</v>
      </c>
      <c r="N19">
        <v>1</v>
      </c>
      <c r="O19" t="s">
        <v>89</v>
      </c>
      <c r="S19" t="s">
        <v>56</v>
      </c>
      <c r="T19">
        <v>1</v>
      </c>
      <c r="V19">
        <v>1</v>
      </c>
      <c r="W19" t="s">
        <v>57</v>
      </c>
      <c r="X19" t="s">
        <v>122</v>
      </c>
      <c r="AA19" t="s">
        <v>45</v>
      </c>
      <c r="AB19">
        <v>2</v>
      </c>
      <c r="AD19">
        <v>1</v>
      </c>
      <c r="AE19" t="s">
        <v>86</v>
      </c>
      <c r="AI19">
        <v>4</v>
      </c>
      <c r="AJ19">
        <v>25</v>
      </c>
    </row>
    <row r="20" spans="1:36" x14ac:dyDescent="0.4">
      <c r="A20" t="s">
        <v>199</v>
      </c>
      <c r="B20">
        <v>18</v>
      </c>
      <c r="C20" t="s">
        <v>56</v>
      </c>
      <c r="D20">
        <v>3</v>
      </c>
      <c r="F20">
        <v>3</v>
      </c>
      <c r="G20" t="s">
        <v>57</v>
      </c>
      <c r="K20" t="s">
        <v>63</v>
      </c>
      <c r="L20">
        <v>2</v>
      </c>
      <c r="N20">
        <v>1</v>
      </c>
      <c r="O20" t="s">
        <v>103</v>
      </c>
      <c r="S20" t="s">
        <v>53</v>
      </c>
      <c r="T20">
        <v>3</v>
      </c>
      <c r="U20">
        <v>1</v>
      </c>
      <c r="V20">
        <v>3</v>
      </c>
      <c r="W20" t="s">
        <v>54</v>
      </c>
      <c r="AA20" t="s">
        <v>48</v>
      </c>
      <c r="AB20">
        <v>2</v>
      </c>
      <c r="AD20">
        <v>1</v>
      </c>
      <c r="AE20" t="s">
        <v>49</v>
      </c>
      <c r="AI20">
        <v>10</v>
      </c>
      <c r="AJ20">
        <v>40</v>
      </c>
    </row>
    <row r="21" spans="1:36" x14ac:dyDescent="0.4">
      <c r="A21" t="s">
        <v>200</v>
      </c>
      <c r="B21">
        <v>19</v>
      </c>
      <c r="C21" t="s">
        <v>56</v>
      </c>
      <c r="D21">
        <v>1</v>
      </c>
      <c r="F21">
        <v>1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1</v>
      </c>
      <c r="N21">
        <v>1</v>
      </c>
      <c r="O21" t="s">
        <v>152</v>
      </c>
      <c r="P21" t="s">
        <v>40</v>
      </c>
      <c r="Q21" t="s">
        <v>154</v>
      </c>
      <c r="R21" t="s">
        <v>42</v>
      </c>
      <c r="S21" t="s">
        <v>53</v>
      </c>
      <c r="T21">
        <v>2</v>
      </c>
      <c r="U21">
        <v>1</v>
      </c>
      <c r="V21">
        <v>1</v>
      </c>
      <c r="W21" t="s">
        <v>54</v>
      </c>
      <c r="AA21" t="s">
        <v>48</v>
      </c>
      <c r="AB21">
        <v>3</v>
      </c>
      <c r="AD21">
        <v>1</v>
      </c>
      <c r="AE21" t="s">
        <v>89</v>
      </c>
      <c r="AI21">
        <v>8</v>
      </c>
      <c r="AJ21">
        <v>37</v>
      </c>
    </row>
    <row r="22" spans="1:36" x14ac:dyDescent="0.4">
      <c r="A22" t="s">
        <v>201</v>
      </c>
      <c r="B22">
        <v>20</v>
      </c>
      <c r="C22" t="s">
        <v>33</v>
      </c>
      <c r="D22">
        <v>3</v>
      </c>
      <c r="F22">
        <v>1</v>
      </c>
      <c r="G22" t="s">
        <v>46</v>
      </c>
      <c r="H22" t="s">
        <v>35</v>
      </c>
      <c r="K22" t="s">
        <v>43</v>
      </c>
      <c r="L22">
        <v>1</v>
      </c>
      <c r="N22">
        <v>1</v>
      </c>
      <c r="O22" t="s">
        <v>135</v>
      </c>
      <c r="P22" t="s">
        <v>99</v>
      </c>
      <c r="S22" t="s">
        <v>53</v>
      </c>
      <c r="T22">
        <v>1</v>
      </c>
      <c r="U22">
        <v>1</v>
      </c>
      <c r="V22">
        <v>1</v>
      </c>
      <c r="W22" t="s">
        <v>54</v>
      </c>
      <c r="X22" t="s">
        <v>113</v>
      </c>
      <c r="AA22" t="s">
        <v>48</v>
      </c>
      <c r="AB22">
        <v>2</v>
      </c>
      <c r="AD22">
        <v>2</v>
      </c>
      <c r="AE22" t="s">
        <v>89</v>
      </c>
      <c r="AI22">
        <v>7</v>
      </c>
      <c r="AJ22">
        <v>30</v>
      </c>
    </row>
    <row r="23" spans="1:36" x14ac:dyDescent="0.4">
      <c r="A23" t="s">
        <v>202</v>
      </c>
      <c r="B23">
        <v>21</v>
      </c>
      <c r="C23" t="s">
        <v>33</v>
      </c>
      <c r="D23">
        <v>3</v>
      </c>
      <c r="F23">
        <v>1</v>
      </c>
      <c r="G23" t="s">
        <v>65</v>
      </c>
      <c r="K23" t="s">
        <v>45</v>
      </c>
      <c r="L23">
        <v>2</v>
      </c>
      <c r="N23">
        <v>1</v>
      </c>
      <c r="O23" t="s">
        <v>86</v>
      </c>
      <c r="S23" t="s">
        <v>53</v>
      </c>
      <c r="T23">
        <v>1</v>
      </c>
      <c r="U23">
        <v>1</v>
      </c>
      <c r="V23">
        <v>3</v>
      </c>
      <c r="W23" t="s">
        <v>54</v>
      </c>
      <c r="AA23" t="s">
        <v>48</v>
      </c>
      <c r="AB23">
        <v>1</v>
      </c>
      <c r="AD23">
        <v>1</v>
      </c>
      <c r="AE23" t="s">
        <v>89</v>
      </c>
      <c r="AI23">
        <v>5</v>
      </c>
      <c r="AJ23">
        <v>24</v>
      </c>
    </row>
    <row r="24" spans="1:36" x14ac:dyDescent="0.4">
      <c r="A24" t="s">
        <v>203</v>
      </c>
      <c r="B24">
        <v>22</v>
      </c>
      <c r="C24" t="s">
        <v>33</v>
      </c>
      <c r="D24">
        <v>2</v>
      </c>
      <c r="F24">
        <v>1</v>
      </c>
      <c r="G24" t="s">
        <v>65</v>
      </c>
      <c r="H24" t="s">
        <v>35</v>
      </c>
      <c r="K24" t="s">
        <v>63</v>
      </c>
      <c r="L24">
        <v>2</v>
      </c>
      <c r="N24">
        <v>1</v>
      </c>
      <c r="O24" t="s">
        <v>103</v>
      </c>
      <c r="S24" t="s">
        <v>53</v>
      </c>
      <c r="T24">
        <v>2</v>
      </c>
      <c r="U24">
        <v>1</v>
      </c>
      <c r="V24">
        <v>1</v>
      </c>
      <c r="W24" t="s">
        <v>54</v>
      </c>
      <c r="AA24" t="s">
        <v>48</v>
      </c>
      <c r="AB24">
        <v>1</v>
      </c>
      <c r="AD24">
        <v>1</v>
      </c>
      <c r="AE24" t="s">
        <v>89</v>
      </c>
      <c r="AI24">
        <v>4</v>
      </c>
      <c r="AJ24">
        <v>19</v>
      </c>
    </row>
    <row r="25" spans="1:36" x14ac:dyDescent="0.4">
      <c r="A25" t="s">
        <v>204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3</v>
      </c>
      <c r="N25">
        <v>1</v>
      </c>
      <c r="O25" t="s">
        <v>89</v>
      </c>
      <c r="P25" t="s">
        <v>84</v>
      </c>
      <c r="S25" t="s">
        <v>33</v>
      </c>
      <c r="T25">
        <v>2</v>
      </c>
      <c r="V25">
        <v>1</v>
      </c>
      <c r="W25" t="s">
        <v>65</v>
      </c>
      <c r="AA25" t="s">
        <v>38</v>
      </c>
      <c r="AB25">
        <v>3</v>
      </c>
      <c r="AC25">
        <v>1</v>
      </c>
      <c r="AD25">
        <v>2</v>
      </c>
      <c r="AE25" t="s">
        <v>152</v>
      </c>
      <c r="AF25" t="s">
        <v>96</v>
      </c>
      <c r="AI25">
        <v>8</v>
      </c>
      <c r="AJ25">
        <v>38</v>
      </c>
    </row>
    <row r="26" spans="1:36" x14ac:dyDescent="0.4">
      <c r="A26" t="s">
        <v>205</v>
      </c>
      <c r="B26">
        <v>24</v>
      </c>
      <c r="C26" t="s">
        <v>53</v>
      </c>
      <c r="D26">
        <v>1</v>
      </c>
      <c r="E26">
        <v>1</v>
      </c>
      <c r="F26">
        <v>3</v>
      </c>
      <c r="G26" t="s">
        <v>54</v>
      </c>
      <c r="H26" t="s">
        <v>83</v>
      </c>
      <c r="K26" t="s">
        <v>48</v>
      </c>
      <c r="L26">
        <v>1</v>
      </c>
      <c r="N26">
        <v>1</v>
      </c>
      <c r="O26" t="s">
        <v>89</v>
      </c>
      <c r="P26" t="s">
        <v>50</v>
      </c>
      <c r="S26" t="s">
        <v>43</v>
      </c>
      <c r="T26">
        <v>2</v>
      </c>
      <c r="V26">
        <v>1</v>
      </c>
      <c r="W26" t="s">
        <v>135</v>
      </c>
      <c r="X26" t="s">
        <v>99</v>
      </c>
      <c r="AA26" t="s">
        <v>45</v>
      </c>
      <c r="AB26">
        <v>2</v>
      </c>
      <c r="AD26">
        <v>1</v>
      </c>
      <c r="AE26" t="s">
        <v>86</v>
      </c>
      <c r="AI26">
        <v>7</v>
      </c>
      <c r="AJ26">
        <v>31</v>
      </c>
    </row>
    <row r="27" spans="1:36" x14ac:dyDescent="0.4">
      <c r="A27" t="s">
        <v>206</v>
      </c>
      <c r="B27">
        <v>25</v>
      </c>
      <c r="C27" t="s">
        <v>43</v>
      </c>
      <c r="D27">
        <v>2</v>
      </c>
      <c r="F27">
        <v>1</v>
      </c>
      <c r="G27" t="s">
        <v>135</v>
      </c>
      <c r="H27" t="s">
        <v>99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3</v>
      </c>
      <c r="U27">
        <v>1</v>
      </c>
      <c r="V27">
        <v>3</v>
      </c>
      <c r="W27" t="s">
        <v>54</v>
      </c>
      <c r="AA27" t="s">
        <v>48</v>
      </c>
      <c r="AB27">
        <v>3</v>
      </c>
      <c r="AD27">
        <v>1</v>
      </c>
      <c r="AE27" t="s">
        <v>49</v>
      </c>
      <c r="AI27">
        <v>9</v>
      </c>
      <c r="AJ27">
        <v>38</v>
      </c>
    </row>
    <row r="28" spans="1:36" x14ac:dyDescent="0.4">
      <c r="A28" t="s">
        <v>207</v>
      </c>
      <c r="B28">
        <v>26</v>
      </c>
      <c r="C28" t="s">
        <v>43</v>
      </c>
      <c r="D28">
        <v>2</v>
      </c>
      <c r="F28">
        <v>1</v>
      </c>
      <c r="G28" t="s">
        <v>135</v>
      </c>
      <c r="H28" t="s">
        <v>99</v>
      </c>
      <c r="I28" t="s">
        <v>137</v>
      </c>
      <c r="K28" t="s">
        <v>38</v>
      </c>
      <c r="L28">
        <v>2</v>
      </c>
      <c r="M28">
        <v>1</v>
      </c>
      <c r="N28">
        <v>1</v>
      </c>
      <c r="O28" t="s">
        <v>152</v>
      </c>
      <c r="P28" t="s">
        <v>70</v>
      </c>
      <c r="Q28" t="s">
        <v>154</v>
      </c>
      <c r="R28" t="s">
        <v>42</v>
      </c>
      <c r="S28" t="s">
        <v>53</v>
      </c>
      <c r="T28">
        <v>2</v>
      </c>
      <c r="U28">
        <v>1</v>
      </c>
      <c r="V28">
        <v>1</v>
      </c>
      <c r="W28" t="s">
        <v>54</v>
      </c>
      <c r="AA28" t="s">
        <v>48</v>
      </c>
      <c r="AB28">
        <v>2</v>
      </c>
      <c r="AD28">
        <v>1</v>
      </c>
      <c r="AE28" t="s">
        <v>89</v>
      </c>
      <c r="AI28">
        <v>9</v>
      </c>
      <c r="AJ28">
        <v>36</v>
      </c>
    </row>
    <row r="29" spans="1:36" x14ac:dyDescent="0.4">
      <c r="A29" t="s">
        <v>208</v>
      </c>
      <c r="B29">
        <v>27</v>
      </c>
      <c r="C29" t="s">
        <v>45</v>
      </c>
      <c r="D29">
        <v>3</v>
      </c>
      <c r="F29">
        <v>1</v>
      </c>
      <c r="G29" t="s">
        <v>47</v>
      </c>
      <c r="H29" t="s">
        <v>76</v>
      </c>
      <c r="K29" t="s">
        <v>63</v>
      </c>
      <c r="L29">
        <v>1</v>
      </c>
      <c r="N29">
        <v>1</v>
      </c>
      <c r="O29" t="s">
        <v>103</v>
      </c>
      <c r="S29" t="s">
        <v>53</v>
      </c>
      <c r="T29">
        <v>1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89</v>
      </c>
      <c r="AI29">
        <v>4</v>
      </c>
      <c r="AJ29">
        <v>39</v>
      </c>
    </row>
    <row r="30" spans="1:36" x14ac:dyDescent="0.4">
      <c r="A30" t="s">
        <v>209</v>
      </c>
      <c r="B30">
        <v>28</v>
      </c>
      <c r="C30" t="s">
        <v>45</v>
      </c>
      <c r="D30">
        <v>3</v>
      </c>
      <c r="F30">
        <v>1</v>
      </c>
      <c r="G30" t="s">
        <v>47</v>
      </c>
      <c r="K30" t="s">
        <v>38</v>
      </c>
      <c r="L30">
        <v>3</v>
      </c>
      <c r="M30">
        <v>1</v>
      </c>
      <c r="N30">
        <v>1</v>
      </c>
      <c r="O30" t="s">
        <v>152</v>
      </c>
      <c r="P30" t="s">
        <v>96</v>
      </c>
      <c r="S30" t="s">
        <v>53</v>
      </c>
      <c r="T30">
        <v>2</v>
      </c>
      <c r="U30">
        <v>1</v>
      </c>
      <c r="V30">
        <v>3</v>
      </c>
      <c r="W30" t="s">
        <v>54</v>
      </c>
      <c r="AA30" t="s">
        <v>48</v>
      </c>
      <c r="AB30">
        <v>1</v>
      </c>
      <c r="AD30">
        <v>2</v>
      </c>
      <c r="AE30" t="s">
        <v>89</v>
      </c>
      <c r="AF30" t="s">
        <v>84</v>
      </c>
      <c r="AI30">
        <v>10</v>
      </c>
      <c r="AJ30">
        <v>44</v>
      </c>
    </row>
    <row r="31" spans="1:36" x14ac:dyDescent="0.4">
      <c r="A31" t="s">
        <v>210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55</v>
      </c>
      <c r="K31" t="s">
        <v>48</v>
      </c>
      <c r="L31">
        <v>2</v>
      </c>
      <c r="N31">
        <v>1</v>
      </c>
      <c r="O31" t="s">
        <v>49</v>
      </c>
      <c r="S31" t="s">
        <v>63</v>
      </c>
      <c r="T31">
        <v>1</v>
      </c>
      <c r="V31">
        <v>1</v>
      </c>
      <c r="W31" t="s">
        <v>72</v>
      </c>
      <c r="AA31" t="s">
        <v>38</v>
      </c>
      <c r="AB31">
        <v>2</v>
      </c>
      <c r="AC31">
        <v>1</v>
      </c>
      <c r="AD31">
        <v>1</v>
      </c>
      <c r="AE31" t="s">
        <v>152</v>
      </c>
      <c r="AF31" t="s">
        <v>96</v>
      </c>
      <c r="AI31">
        <v>5</v>
      </c>
      <c r="AJ31">
        <v>34</v>
      </c>
    </row>
    <row r="32" spans="1:36" x14ac:dyDescent="0.4">
      <c r="A32" t="s">
        <v>211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54</v>
      </c>
      <c r="H32" t="s">
        <v>55</v>
      </c>
      <c r="K32" t="s">
        <v>33</v>
      </c>
      <c r="L32">
        <v>3</v>
      </c>
      <c r="N32">
        <v>1</v>
      </c>
      <c r="O32" t="s">
        <v>46</v>
      </c>
      <c r="S32" t="s">
        <v>56</v>
      </c>
      <c r="T32">
        <v>1</v>
      </c>
      <c r="V32">
        <v>1</v>
      </c>
      <c r="W32" t="s">
        <v>57</v>
      </c>
      <c r="X32" t="s">
        <v>122</v>
      </c>
      <c r="AA32" t="s">
        <v>48</v>
      </c>
      <c r="AB32">
        <v>2</v>
      </c>
      <c r="AD32">
        <v>1</v>
      </c>
      <c r="AE32" t="s">
        <v>49</v>
      </c>
      <c r="AI32">
        <v>5</v>
      </c>
      <c r="AJ32">
        <v>26</v>
      </c>
    </row>
    <row r="33" spans="1:36" x14ac:dyDescent="0.4">
      <c r="A33" t="s">
        <v>212</v>
      </c>
      <c r="B33">
        <v>31</v>
      </c>
      <c r="C33" t="s">
        <v>53</v>
      </c>
      <c r="D33">
        <v>3</v>
      </c>
      <c r="E33">
        <v>2</v>
      </c>
      <c r="F33">
        <v>3</v>
      </c>
      <c r="G33" t="s">
        <v>54</v>
      </c>
      <c r="H33" t="s">
        <v>83</v>
      </c>
      <c r="I33" t="s">
        <v>105</v>
      </c>
      <c r="J33" t="s">
        <v>115</v>
      </c>
      <c r="K33" t="s">
        <v>33</v>
      </c>
      <c r="L33">
        <v>1</v>
      </c>
      <c r="N33">
        <v>1</v>
      </c>
      <c r="O33" t="s">
        <v>46</v>
      </c>
      <c r="P33" t="s">
        <v>35</v>
      </c>
      <c r="S33" t="s">
        <v>56</v>
      </c>
      <c r="T33">
        <v>3</v>
      </c>
      <c r="V33">
        <v>3</v>
      </c>
      <c r="W33" t="s">
        <v>68</v>
      </c>
      <c r="X33" t="s">
        <v>69</v>
      </c>
      <c r="Y33" t="s">
        <v>85</v>
      </c>
      <c r="Z33" t="s">
        <v>124</v>
      </c>
      <c r="AA33" t="s">
        <v>43</v>
      </c>
      <c r="AB33">
        <v>2</v>
      </c>
      <c r="AD33">
        <v>1</v>
      </c>
      <c r="AE33" t="s">
        <v>135</v>
      </c>
      <c r="AI33">
        <v>17</v>
      </c>
      <c r="AJ33">
        <v>52</v>
      </c>
    </row>
    <row r="34" spans="1:36" x14ac:dyDescent="0.4">
      <c r="A34" t="s">
        <v>213</v>
      </c>
      <c r="B34">
        <v>32</v>
      </c>
      <c r="C34" t="s">
        <v>53</v>
      </c>
      <c r="D34">
        <v>2</v>
      </c>
      <c r="E34">
        <v>1</v>
      </c>
      <c r="F34">
        <v>1</v>
      </c>
      <c r="G34" t="s">
        <v>54</v>
      </c>
      <c r="H34" t="s">
        <v>83</v>
      </c>
      <c r="K34" t="s">
        <v>33</v>
      </c>
      <c r="L34">
        <v>2</v>
      </c>
      <c r="N34">
        <v>1</v>
      </c>
      <c r="O34" t="s">
        <v>46</v>
      </c>
      <c r="S34" t="s">
        <v>56</v>
      </c>
      <c r="T34">
        <v>2</v>
      </c>
      <c r="V34">
        <v>1</v>
      </c>
      <c r="W34" t="s">
        <v>57</v>
      </c>
      <c r="X34" t="s">
        <v>122</v>
      </c>
      <c r="AA34" t="s">
        <v>45</v>
      </c>
      <c r="AB34">
        <v>2</v>
      </c>
      <c r="AD34">
        <v>1</v>
      </c>
      <c r="AE34" t="s">
        <v>47</v>
      </c>
      <c r="AF34" t="s">
        <v>76</v>
      </c>
      <c r="AI34">
        <v>7</v>
      </c>
      <c r="AJ34">
        <v>28</v>
      </c>
    </row>
    <row r="35" spans="1:36" x14ac:dyDescent="0.4">
      <c r="A35" t="s">
        <v>214</v>
      </c>
      <c r="B35">
        <v>33</v>
      </c>
      <c r="C35" t="s">
        <v>53</v>
      </c>
      <c r="D35">
        <v>3</v>
      </c>
      <c r="E35">
        <v>1</v>
      </c>
      <c r="F35">
        <v>1</v>
      </c>
      <c r="G35" t="s">
        <v>54</v>
      </c>
      <c r="K35" t="s">
        <v>33</v>
      </c>
      <c r="L35">
        <v>2</v>
      </c>
      <c r="N35">
        <v>1</v>
      </c>
      <c r="O35" t="s">
        <v>46</v>
      </c>
      <c r="S35" t="s">
        <v>56</v>
      </c>
      <c r="T35">
        <v>2</v>
      </c>
      <c r="V35">
        <v>2</v>
      </c>
      <c r="W35" t="s">
        <v>57</v>
      </c>
      <c r="AA35" t="s">
        <v>63</v>
      </c>
      <c r="AB35">
        <v>1</v>
      </c>
      <c r="AD35">
        <v>1</v>
      </c>
      <c r="AE35" t="s">
        <v>72</v>
      </c>
      <c r="AI35">
        <v>5</v>
      </c>
      <c r="AJ35">
        <v>25</v>
      </c>
    </row>
    <row r="36" spans="1:36" x14ac:dyDescent="0.4">
      <c r="A36" t="s">
        <v>215</v>
      </c>
      <c r="B36">
        <v>34</v>
      </c>
      <c r="C36" t="s">
        <v>53</v>
      </c>
      <c r="D36">
        <v>3</v>
      </c>
      <c r="E36">
        <v>1</v>
      </c>
      <c r="F36">
        <v>1</v>
      </c>
      <c r="G36" t="s">
        <v>54</v>
      </c>
      <c r="K36" t="s">
        <v>33</v>
      </c>
      <c r="L36">
        <v>2</v>
      </c>
      <c r="N36">
        <v>1</v>
      </c>
      <c r="O36" t="s">
        <v>46</v>
      </c>
      <c r="S36" t="s">
        <v>56</v>
      </c>
      <c r="T36">
        <v>1</v>
      </c>
      <c r="V36">
        <v>1</v>
      </c>
      <c r="W36" t="s">
        <v>57</v>
      </c>
      <c r="AA36" t="s">
        <v>38</v>
      </c>
      <c r="AB36">
        <v>2</v>
      </c>
      <c r="AC36">
        <v>2</v>
      </c>
      <c r="AD36">
        <v>3</v>
      </c>
      <c r="AE36" t="s">
        <v>152</v>
      </c>
      <c r="AI36">
        <v>7</v>
      </c>
      <c r="AJ36">
        <v>32</v>
      </c>
    </row>
    <row r="37" spans="1:36" x14ac:dyDescent="0.4">
      <c r="A37" t="s">
        <v>216</v>
      </c>
      <c r="B37">
        <v>35</v>
      </c>
      <c r="C37" t="s">
        <v>48</v>
      </c>
      <c r="D37">
        <v>1</v>
      </c>
      <c r="F37">
        <v>1</v>
      </c>
      <c r="G37" t="s">
        <v>49</v>
      </c>
      <c r="K37" t="s">
        <v>43</v>
      </c>
      <c r="L37">
        <v>2</v>
      </c>
      <c r="N37">
        <v>2</v>
      </c>
      <c r="O37" t="s">
        <v>135</v>
      </c>
      <c r="P37" t="s">
        <v>99</v>
      </c>
      <c r="S37" t="s">
        <v>53</v>
      </c>
      <c r="T37">
        <v>1</v>
      </c>
      <c r="U37">
        <v>1</v>
      </c>
      <c r="V37">
        <v>3</v>
      </c>
      <c r="W37" t="s">
        <v>54</v>
      </c>
      <c r="X37" t="s">
        <v>83</v>
      </c>
      <c r="Y37" t="s">
        <v>105</v>
      </c>
      <c r="AA37" t="s">
        <v>33</v>
      </c>
      <c r="AB37">
        <v>2</v>
      </c>
      <c r="AD37">
        <v>1</v>
      </c>
      <c r="AE37" t="s">
        <v>65</v>
      </c>
      <c r="AI37">
        <v>9</v>
      </c>
      <c r="AJ37">
        <v>42</v>
      </c>
    </row>
    <row r="38" spans="1:36" x14ac:dyDescent="0.4">
      <c r="A38" t="s">
        <v>217</v>
      </c>
      <c r="B38">
        <v>36</v>
      </c>
      <c r="C38" t="s">
        <v>53</v>
      </c>
      <c r="D38">
        <v>2</v>
      </c>
      <c r="E38">
        <v>1</v>
      </c>
      <c r="F38">
        <v>1</v>
      </c>
      <c r="G38" t="s">
        <v>54</v>
      </c>
      <c r="K38" t="s">
        <v>33</v>
      </c>
      <c r="L38">
        <v>2</v>
      </c>
      <c r="N38">
        <v>2</v>
      </c>
      <c r="O38" t="s">
        <v>46</v>
      </c>
      <c r="S38" t="s">
        <v>48</v>
      </c>
      <c r="T38">
        <v>1</v>
      </c>
      <c r="V38">
        <v>2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I38">
        <v>6</v>
      </c>
      <c r="AJ38">
        <v>28</v>
      </c>
    </row>
    <row r="39" spans="1:36" x14ac:dyDescent="0.4">
      <c r="A39" t="s">
        <v>218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K39" t="s">
        <v>33</v>
      </c>
      <c r="L39">
        <v>2</v>
      </c>
      <c r="N39">
        <v>1</v>
      </c>
      <c r="O39" t="s">
        <v>46</v>
      </c>
      <c r="S39" t="s">
        <v>48</v>
      </c>
      <c r="T39">
        <v>2</v>
      </c>
      <c r="V39">
        <v>1</v>
      </c>
      <c r="W39" t="s">
        <v>49</v>
      </c>
      <c r="AA39" t="s">
        <v>63</v>
      </c>
      <c r="AB39">
        <v>1</v>
      </c>
      <c r="AD39">
        <v>1</v>
      </c>
      <c r="AE39" t="s">
        <v>72</v>
      </c>
      <c r="AF39" t="s">
        <v>146</v>
      </c>
      <c r="AI39">
        <v>4</v>
      </c>
      <c r="AJ39">
        <v>26</v>
      </c>
    </row>
    <row r="40" spans="1:36" x14ac:dyDescent="0.4">
      <c r="A40" t="s">
        <v>219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54</v>
      </c>
      <c r="H40" t="s">
        <v>55</v>
      </c>
      <c r="K40" t="s">
        <v>33</v>
      </c>
      <c r="L40">
        <v>3</v>
      </c>
      <c r="N40">
        <v>1</v>
      </c>
      <c r="O40" t="s">
        <v>65</v>
      </c>
      <c r="S40" t="s">
        <v>48</v>
      </c>
      <c r="T40">
        <v>2</v>
      </c>
      <c r="V40">
        <v>1</v>
      </c>
      <c r="W40" t="s">
        <v>49</v>
      </c>
      <c r="AA40" t="s">
        <v>38</v>
      </c>
      <c r="AB40">
        <v>1</v>
      </c>
      <c r="AC40">
        <v>1</v>
      </c>
      <c r="AD40">
        <v>1</v>
      </c>
      <c r="AE40" t="s">
        <v>152</v>
      </c>
      <c r="AI40">
        <v>4</v>
      </c>
      <c r="AJ40">
        <v>24</v>
      </c>
    </row>
    <row r="41" spans="1:36" x14ac:dyDescent="0.4">
      <c r="A41" t="s">
        <v>220</v>
      </c>
      <c r="B41">
        <v>39</v>
      </c>
      <c r="C41" t="s">
        <v>53</v>
      </c>
      <c r="D41">
        <v>1</v>
      </c>
      <c r="E41">
        <v>1</v>
      </c>
      <c r="F41">
        <v>3</v>
      </c>
      <c r="G41" t="s">
        <v>54</v>
      </c>
      <c r="K41" t="s">
        <v>33</v>
      </c>
      <c r="L41">
        <v>1</v>
      </c>
      <c r="N41">
        <v>1</v>
      </c>
      <c r="O41" t="s">
        <v>34</v>
      </c>
      <c r="P41" t="s">
        <v>66</v>
      </c>
      <c r="S41" t="s">
        <v>43</v>
      </c>
      <c r="T41">
        <v>1</v>
      </c>
      <c r="V41">
        <v>1</v>
      </c>
      <c r="W41" t="s">
        <v>135</v>
      </c>
      <c r="X41" t="s">
        <v>99</v>
      </c>
      <c r="AA41" t="s">
        <v>45</v>
      </c>
      <c r="AB41">
        <v>3</v>
      </c>
      <c r="AD41">
        <v>1</v>
      </c>
      <c r="AE41" t="s">
        <v>47</v>
      </c>
      <c r="AI41">
        <v>6</v>
      </c>
      <c r="AJ41">
        <v>28</v>
      </c>
    </row>
    <row r="42" spans="1:36" x14ac:dyDescent="0.4">
      <c r="A42" t="s">
        <v>221</v>
      </c>
      <c r="B42">
        <v>40</v>
      </c>
      <c r="C42" t="s">
        <v>43</v>
      </c>
      <c r="D42">
        <v>2</v>
      </c>
      <c r="F42">
        <v>1</v>
      </c>
      <c r="G42" t="s">
        <v>135</v>
      </c>
      <c r="H42" t="s">
        <v>99</v>
      </c>
      <c r="I42" t="s">
        <v>75</v>
      </c>
      <c r="K42" t="s">
        <v>63</v>
      </c>
      <c r="L42">
        <v>2</v>
      </c>
      <c r="N42">
        <v>1</v>
      </c>
      <c r="O42" t="s">
        <v>72</v>
      </c>
      <c r="S42" t="s">
        <v>53</v>
      </c>
      <c r="T42">
        <v>2</v>
      </c>
      <c r="U42">
        <v>1</v>
      </c>
      <c r="V42">
        <v>1</v>
      </c>
      <c r="W42" t="s">
        <v>54</v>
      </c>
      <c r="AA42" t="s">
        <v>33</v>
      </c>
      <c r="AB42">
        <v>2</v>
      </c>
      <c r="AD42">
        <v>2</v>
      </c>
      <c r="AE42" t="s">
        <v>65</v>
      </c>
      <c r="AI42">
        <v>7</v>
      </c>
      <c r="AJ42">
        <v>27</v>
      </c>
    </row>
    <row r="43" spans="1:36" x14ac:dyDescent="0.4">
      <c r="A43" t="s">
        <v>222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K43" t="s">
        <v>38</v>
      </c>
      <c r="L43">
        <v>1</v>
      </c>
      <c r="M43">
        <v>2</v>
      </c>
      <c r="N43">
        <v>1</v>
      </c>
      <c r="O43" t="s">
        <v>152</v>
      </c>
      <c r="S43" t="s">
        <v>53</v>
      </c>
      <c r="T43">
        <v>2</v>
      </c>
      <c r="U43">
        <v>1</v>
      </c>
      <c r="V43">
        <v>1</v>
      </c>
      <c r="W43" t="s">
        <v>54</v>
      </c>
      <c r="AA43" t="s">
        <v>33</v>
      </c>
      <c r="AB43">
        <v>3</v>
      </c>
      <c r="AD43">
        <v>1</v>
      </c>
      <c r="AE43" t="s">
        <v>65</v>
      </c>
      <c r="AI43">
        <v>6</v>
      </c>
      <c r="AJ43">
        <v>24</v>
      </c>
    </row>
    <row r="44" spans="1:36" x14ac:dyDescent="0.4">
      <c r="A44" t="s">
        <v>223</v>
      </c>
      <c r="B44">
        <v>42</v>
      </c>
      <c r="C44" t="s">
        <v>45</v>
      </c>
      <c r="D44">
        <v>3</v>
      </c>
      <c r="F44">
        <v>1</v>
      </c>
      <c r="G44" t="s">
        <v>47</v>
      </c>
      <c r="H44" t="s">
        <v>141</v>
      </c>
      <c r="K44" t="s">
        <v>63</v>
      </c>
      <c r="L44">
        <v>3</v>
      </c>
      <c r="N44">
        <v>1</v>
      </c>
      <c r="O44" t="s">
        <v>103</v>
      </c>
      <c r="S44" t="s">
        <v>53</v>
      </c>
      <c r="T44">
        <v>3</v>
      </c>
      <c r="U44">
        <v>1</v>
      </c>
      <c r="V44">
        <v>2</v>
      </c>
      <c r="W44" t="s">
        <v>54</v>
      </c>
      <c r="AA44" t="s">
        <v>33</v>
      </c>
      <c r="AB44">
        <v>2</v>
      </c>
      <c r="AD44">
        <v>1</v>
      </c>
      <c r="AE44" t="s">
        <v>46</v>
      </c>
      <c r="AI44">
        <v>10</v>
      </c>
      <c r="AJ44">
        <v>39</v>
      </c>
    </row>
    <row r="45" spans="1:36" x14ac:dyDescent="0.4">
      <c r="A45" t="s">
        <v>224</v>
      </c>
      <c r="B45">
        <v>43</v>
      </c>
      <c r="C45" t="s">
        <v>53</v>
      </c>
      <c r="D45">
        <v>2</v>
      </c>
      <c r="E45">
        <v>1</v>
      </c>
      <c r="F45">
        <v>1</v>
      </c>
      <c r="G45" t="s">
        <v>54</v>
      </c>
      <c r="K45" t="s">
        <v>33</v>
      </c>
      <c r="L45">
        <v>1</v>
      </c>
      <c r="N45">
        <v>2</v>
      </c>
      <c r="O45" t="s">
        <v>46</v>
      </c>
      <c r="P45" t="s">
        <v>35</v>
      </c>
      <c r="S45" t="s">
        <v>45</v>
      </c>
      <c r="T45">
        <v>3</v>
      </c>
      <c r="V45">
        <v>1</v>
      </c>
      <c r="W45" t="s">
        <v>47</v>
      </c>
      <c r="AA45" t="s">
        <v>38</v>
      </c>
      <c r="AB45">
        <v>2</v>
      </c>
      <c r="AC45">
        <v>3</v>
      </c>
      <c r="AD45">
        <v>1</v>
      </c>
      <c r="AE45" t="s">
        <v>152</v>
      </c>
      <c r="AI45">
        <v>8</v>
      </c>
      <c r="AJ45">
        <v>33</v>
      </c>
    </row>
    <row r="46" spans="1:36" x14ac:dyDescent="0.4">
      <c r="A46" t="s">
        <v>225</v>
      </c>
      <c r="B46">
        <v>44</v>
      </c>
      <c r="C46" t="s">
        <v>53</v>
      </c>
      <c r="D46">
        <v>2</v>
      </c>
      <c r="E46">
        <v>1</v>
      </c>
      <c r="F46">
        <v>1</v>
      </c>
      <c r="G46" t="s">
        <v>54</v>
      </c>
      <c r="K46" t="s">
        <v>33</v>
      </c>
      <c r="L46">
        <v>2</v>
      </c>
      <c r="N46">
        <v>2</v>
      </c>
      <c r="O46" t="s">
        <v>46</v>
      </c>
      <c r="S46" t="s">
        <v>63</v>
      </c>
      <c r="T46">
        <v>1</v>
      </c>
      <c r="V46">
        <v>1</v>
      </c>
      <c r="W46" t="s">
        <v>72</v>
      </c>
      <c r="AA46" t="s">
        <v>38</v>
      </c>
      <c r="AB46">
        <v>2</v>
      </c>
      <c r="AC46">
        <v>1</v>
      </c>
      <c r="AD46">
        <v>2</v>
      </c>
      <c r="AE46" t="s">
        <v>152</v>
      </c>
      <c r="AI46">
        <v>5</v>
      </c>
      <c r="AJ46">
        <v>28</v>
      </c>
    </row>
    <row r="47" spans="1:36" x14ac:dyDescent="0.4">
      <c r="A47" t="s">
        <v>226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54</v>
      </c>
      <c r="H47" t="s">
        <v>55</v>
      </c>
      <c r="I47" t="s">
        <v>114</v>
      </c>
      <c r="J47" t="s">
        <v>98</v>
      </c>
      <c r="K47" t="s">
        <v>43</v>
      </c>
      <c r="L47">
        <v>2</v>
      </c>
      <c r="N47">
        <v>1</v>
      </c>
      <c r="O47" t="s">
        <v>135</v>
      </c>
      <c r="P47" t="s">
        <v>99</v>
      </c>
      <c r="Q47" t="s">
        <v>100</v>
      </c>
      <c r="S47" t="s">
        <v>56</v>
      </c>
      <c r="T47">
        <v>3</v>
      </c>
      <c r="V47">
        <v>1</v>
      </c>
      <c r="W47" t="s">
        <v>57</v>
      </c>
      <c r="AA47" t="s">
        <v>48</v>
      </c>
      <c r="AB47">
        <v>2</v>
      </c>
      <c r="AD47">
        <v>1</v>
      </c>
      <c r="AE47" t="s">
        <v>49</v>
      </c>
      <c r="AF47" t="s">
        <v>50</v>
      </c>
      <c r="AG47" t="s">
        <v>127</v>
      </c>
      <c r="AI47">
        <v>12</v>
      </c>
      <c r="AJ47">
        <v>85</v>
      </c>
    </row>
    <row r="48" spans="1:36" x14ac:dyDescent="0.4">
      <c r="A48" t="s">
        <v>227</v>
      </c>
      <c r="B48">
        <v>46</v>
      </c>
      <c r="C48" t="s">
        <v>53</v>
      </c>
      <c r="D48">
        <v>2</v>
      </c>
      <c r="E48">
        <v>1</v>
      </c>
      <c r="F48">
        <v>1</v>
      </c>
      <c r="G48" t="s">
        <v>54</v>
      </c>
      <c r="H48" t="s">
        <v>83</v>
      </c>
      <c r="K48" t="s">
        <v>43</v>
      </c>
      <c r="L48">
        <v>2</v>
      </c>
      <c r="N48">
        <v>1</v>
      </c>
      <c r="O48" t="s">
        <v>135</v>
      </c>
      <c r="P48" t="s">
        <v>74</v>
      </c>
      <c r="S48" t="s">
        <v>56</v>
      </c>
      <c r="T48">
        <v>1</v>
      </c>
      <c r="V48">
        <v>2</v>
      </c>
      <c r="W48" t="s">
        <v>120</v>
      </c>
      <c r="AA48" t="s">
        <v>33</v>
      </c>
      <c r="AB48">
        <v>2</v>
      </c>
      <c r="AD48">
        <v>1</v>
      </c>
      <c r="AE48" t="s">
        <v>65</v>
      </c>
      <c r="AI48">
        <v>6</v>
      </c>
      <c r="AJ48">
        <v>28</v>
      </c>
    </row>
    <row r="49" spans="1:36" x14ac:dyDescent="0.4">
      <c r="A49" t="s">
        <v>228</v>
      </c>
      <c r="B49">
        <v>47</v>
      </c>
      <c r="C49" t="s">
        <v>56</v>
      </c>
      <c r="D49">
        <v>1</v>
      </c>
      <c r="F49">
        <v>1</v>
      </c>
      <c r="G49" t="s">
        <v>57</v>
      </c>
      <c r="K49" t="s">
        <v>45</v>
      </c>
      <c r="L49">
        <v>3</v>
      </c>
      <c r="N49">
        <v>1</v>
      </c>
      <c r="O49" t="s">
        <v>47</v>
      </c>
      <c r="S49" t="s">
        <v>53</v>
      </c>
      <c r="T49">
        <v>2</v>
      </c>
      <c r="U49">
        <v>1</v>
      </c>
      <c r="V49">
        <v>1</v>
      </c>
      <c r="W49" t="s">
        <v>54</v>
      </c>
      <c r="AA49" t="s">
        <v>43</v>
      </c>
      <c r="AB49">
        <v>1</v>
      </c>
      <c r="AD49">
        <v>1</v>
      </c>
      <c r="AE49" t="s">
        <v>135</v>
      </c>
      <c r="AF49" t="s">
        <v>136</v>
      </c>
      <c r="AI49">
        <v>4</v>
      </c>
      <c r="AJ49">
        <v>23</v>
      </c>
    </row>
    <row r="50" spans="1:36" x14ac:dyDescent="0.4">
      <c r="A50" t="s">
        <v>229</v>
      </c>
      <c r="B50">
        <v>48</v>
      </c>
      <c r="C50" t="s">
        <v>56</v>
      </c>
      <c r="D50">
        <v>1</v>
      </c>
      <c r="F50">
        <v>1</v>
      </c>
      <c r="G50" t="s">
        <v>120</v>
      </c>
      <c r="H50" t="s">
        <v>122</v>
      </c>
      <c r="K50" t="s">
        <v>63</v>
      </c>
      <c r="L50">
        <v>2</v>
      </c>
      <c r="N50">
        <v>1</v>
      </c>
      <c r="O50" t="s">
        <v>72</v>
      </c>
      <c r="S50" t="s">
        <v>53</v>
      </c>
      <c r="T50">
        <v>2</v>
      </c>
      <c r="U50">
        <v>1</v>
      </c>
      <c r="V50">
        <v>1</v>
      </c>
      <c r="W50" t="s">
        <v>54</v>
      </c>
      <c r="X50" t="s">
        <v>83</v>
      </c>
      <c r="AA50" t="s">
        <v>43</v>
      </c>
      <c r="AB50">
        <v>1</v>
      </c>
      <c r="AD50">
        <v>1</v>
      </c>
      <c r="AE50" t="s">
        <v>135</v>
      </c>
      <c r="AF50" t="s">
        <v>99</v>
      </c>
      <c r="AI50">
        <v>5</v>
      </c>
      <c r="AJ50">
        <v>32</v>
      </c>
    </row>
    <row r="51" spans="1:36" x14ac:dyDescent="0.4">
      <c r="A51" t="s">
        <v>230</v>
      </c>
      <c r="B51">
        <v>49</v>
      </c>
      <c r="C51" t="s">
        <v>56</v>
      </c>
      <c r="D51">
        <v>1</v>
      </c>
      <c r="F51">
        <v>2</v>
      </c>
      <c r="G51" t="s">
        <v>120</v>
      </c>
      <c r="H51" t="s">
        <v>121</v>
      </c>
      <c r="I51" t="s">
        <v>123</v>
      </c>
      <c r="K51" t="s">
        <v>38</v>
      </c>
      <c r="L51">
        <v>1</v>
      </c>
      <c r="M51">
        <v>1</v>
      </c>
      <c r="N51">
        <v>1</v>
      </c>
      <c r="O51" t="s">
        <v>152</v>
      </c>
      <c r="P51" t="s">
        <v>96</v>
      </c>
      <c r="S51" t="s">
        <v>53</v>
      </c>
      <c r="T51">
        <v>3</v>
      </c>
      <c r="U51">
        <v>1</v>
      </c>
      <c r="V51">
        <v>1</v>
      </c>
      <c r="W51" t="s">
        <v>54</v>
      </c>
      <c r="X51" t="s">
        <v>83</v>
      </c>
      <c r="AA51" t="s">
        <v>43</v>
      </c>
      <c r="AB51">
        <v>2</v>
      </c>
      <c r="AD51">
        <v>1</v>
      </c>
      <c r="AE51" t="s">
        <v>135</v>
      </c>
      <c r="AI51">
        <v>8</v>
      </c>
      <c r="AJ51">
        <v>41</v>
      </c>
    </row>
    <row r="52" spans="1:36" x14ac:dyDescent="0.4">
      <c r="A52" t="s">
        <v>231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54</v>
      </c>
      <c r="H52" t="s">
        <v>55</v>
      </c>
      <c r="I52" t="s">
        <v>114</v>
      </c>
      <c r="K52" t="s">
        <v>43</v>
      </c>
      <c r="L52">
        <v>3</v>
      </c>
      <c r="N52">
        <v>1</v>
      </c>
      <c r="O52" t="s">
        <v>135</v>
      </c>
      <c r="P52" t="s">
        <v>74</v>
      </c>
      <c r="Q52" t="s">
        <v>137</v>
      </c>
      <c r="S52" t="s">
        <v>48</v>
      </c>
      <c r="T52">
        <v>1</v>
      </c>
      <c r="V52">
        <v>1</v>
      </c>
      <c r="W52" t="s">
        <v>49</v>
      </c>
      <c r="X52" t="s">
        <v>50</v>
      </c>
      <c r="AA52" t="s">
        <v>33</v>
      </c>
      <c r="AB52">
        <v>1</v>
      </c>
      <c r="AD52">
        <v>2</v>
      </c>
      <c r="AE52" t="s">
        <v>65</v>
      </c>
      <c r="AI52">
        <v>8</v>
      </c>
      <c r="AJ52">
        <v>31</v>
      </c>
    </row>
    <row r="53" spans="1:36" x14ac:dyDescent="0.4">
      <c r="A53" t="s">
        <v>232</v>
      </c>
      <c r="B53">
        <v>51</v>
      </c>
      <c r="C53" t="s">
        <v>53</v>
      </c>
      <c r="D53">
        <v>2</v>
      </c>
      <c r="E53">
        <v>1</v>
      </c>
      <c r="F53">
        <v>2</v>
      </c>
      <c r="G53" t="s">
        <v>54</v>
      </c>
      <c r="H53" t="s">
        <v>83</v>
      </c>
      <c r="K53" t="s">
        <v>43</v>
      </c>
      <c r="L53">
        <v>1</v>
      </c>
      <c r="N53">
        <v>1</v>
      </c>
      <c r="O53" t="s">
        <v>135</v>
      </c>
      <c r="P53" t="s">
        <v>136</v>
      </c>
      <c r="S53" t="s">
        <v>48</v>
      </c>
      <c r="T53">
        <v>2</v>
      </c>
      <c r="V53">
        <v>1</v>
      </c>
      <c r="W53" t="s">
        <v>49</v>
      </c>
      <c r="AA53" t="s">
        <v>45</v>
      </c>
      <c r="AB53">
        <v>3</v>
      </c>
      <c r="AD53">
        <v>1</v>
      </c>
      <c r="AE53" t="s">
        <v>47</v>
      </c>
      <c r="AF53" t="s">
        <v>76</v>
      </c>
      <c r="AG53" t="s">
        <v>93</v>
      </c>
      <c r="AI53">
        <v>9</v>
      </c>
      <c r="AJ53">
        <v>34</v>
      </c>
    </row>
    <row r="54" spans="1:36" x14ac:dyDescent="0.4">
      <c r="A54" t="s">
        <v>233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54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100</v>
      </c>
      <c r="R54" t="s">
        <v>138</v>
      </c>
      <c r="S54" t="s">
        <v>48</v>
      </c>
      <c r="T54">
        <v>1</v>
      </c>
      <c r="V54">
        <v>1</v>
      </c>
      <c r="W54" t="s">
        <v>49</v>
      </c>
      <c r="X54" t="s">
        <v>50</v>
      </c>
      <c r="AA54" t="s">
        <v>63</v>
      </c>
      <c r="AB54">
        <v>2</v>
      </c>
      <c r="AD54">
        <v>1</v>
      </c>
      <c r="AE54" t="s">
        <v>72</v>
      </c>
      <c r="AF54" t="s">
        <v>95</v>
      </c>
      <c r="AI54">
        <v>8</v>
      </c>
      <c r="AJ54">
        <v>35</v>
      </c>
    </row>
    <row r="55" spans="1:36" x14ac:dyDescent="0.4">
      <c r="A55" t="s">
        <v>234</v>
      </c>
      <c r="B55">
        <v>53</v>
      </c>
      <c r="C55" t="s">
        <v>48</v>
      </c>
      <c r="D55">
        <v>3</v>
      </c>
      <c r="F55">
        <v>1</v>
      </c>
      <c r="G55" t="s">
        <v>49</v>
      </c>
      <c r="K55" t="s">
        <v>38</v>
      </c>
      <c r="L55">
        <v>1</v>
      </c>
      <c r="M55">
        <v>1</v>
      </c>
      <c r="N55">
        <v>1</v>
      </c>
      <c r="O55" t="s">
        <v>152</v>
      </c>
      <c r="P55" t="s">
        <v>70</v>
      </c>
      <c r="Q55" t="s">
        <v>41</v>
      </c>
      <c r="R55" t="s">
        <v>156</v>
      </c>
      <c r="S55" t="s">
        <v>53</v>
      </c>
      <c r="T55">
        <v>2</v>
      </c>
      <c r="U55">
        <v>1</v>
      </c>
      <c r="V55">
        <v>1</v>
      </c>
      <c r="W55" t="s">
        <v>54</v>
      </c>
      <c r="AA55" t="s">
        <v>43</v>
      </c>
      <c r="AB55">
        <v>1</v>
      </c>
      <c r="AD55">
        <v>1</v>
      </c>
      <c r="AE55" t="s">
        <v>135</v>
      </c>
      <c r="AF55" t="s">
        <v>99</v>
      </c>
      <c r="AI55">
        <v>7</v>
      </c>
      <c r="AJ55">
        <v>41</v>
      </c>
    </row>
    <row r="56" spans="1:36" x14ac:dyDescent="0.4">
      <c r="A56" t="s">
        <v>235</v>
      </c>
      <c r="B56">
        <v>54</v>
      </c>
      <c r="C56" t="s">
        <v>53</v>
      </c>
      <c r="D56">
        <v>1</v>
      </c>
      <c r="E56">
        <v>1</v>
      </c>
      <c r="F56">
        <v>2</v>
      </c>
      <c r="G56" t="s">
        <v>54</v>
      </c>
      <c r="H56" t="s">
        <v>55</v>
      </c>
      <c r="K56" t="s">
        <v>43</v>
      </c>
      <c r="L56">
        <v>3</v>
      </c>
      <c r="N56">
        <v>2</v>
      </c>
      <c r="O56" t="s">
        <v>135</v>
      </c>
      <c r="S56" t="s">
        <v>33</v>
      </c>
      <c r="T56">
        <v>3</v>
      </c>
      <c r="V56">
        <v>2</v>
      </c>
      <c r="W56" t="s">
        <v>65</v>
      </c>
      <c r="AA56" t="s">
        <v>45</v>
      </c>
      <c r="AB56">
        <v>1</v>
      </c>
      <c r="AD56">
        <v>1</v>
      </c>
      <c r="AE56" t="s">
        <v>47</v>
      </c>
      <c r="AI56">
        <v>8</v>
      </c>
      <c r="AJ56">
        <v>25</v>
      </c>
    </row>
    <row r="57" spans="1:36" x14ac:dyDescent="0.4">
      <c r="A57" t="s">
        <v>236</v>
      </c>
      <c r="B57">
        <v>55</v>
      </c>
      <c r="C57" t="s">
        <v>53</v>
      </c>
      <c r="D57">
        <v>1</v>
      </c>
      <c r="E57">
        <v>1</v>
      </c>
      <c r="F57">
        <v>2</v>
      </c>
      <c r="G57" t="s">
        <v>54</v>
      </c>
      <c r="K57" t="s">
        <v>43</v>
      </c>
      <c r="L57">
        <v>3</v>
      </c>
      <c r="N57">
        <v>1</v>
      </c>
      <c r="O57" t="s">
        <v>135</v>
      </c>
      <c r="P57" t="s">
        <v>136</v>
      </c>
      <c r="S57" t="s">
        <v>33</v>
      </c>
      <c r="T57">
        <v>3</v>
      </c>
      <c r="V57">
        <v>2</v>
      </c>
      <c r="W57" t="s">
        <v>65</v>
      </c>
      <c r="AA57" t="s">
        <v>63</v>
      </c>
      <c r="AB57">
        <v>1</v>
      </c>
      <c r="AD57">
        <v>1</v>
      </c>
      <c r="AE57" t="s">
        <v>103</v>
      </c>
      <c r="AI57">
        <v>7</v>
      </c>
      <c r="AJ57">
        <v>36</v>
      </c>
    </row>
    <row r="58" spans="1:36" x14ac:dyDescent="0.4">
      <c r="A58" t="s">
        <v>237</v>
      </c>
      <c r="B58">
        <v>56</v>
      </c>
      <c r="C58" t="s">
        <v>33</v>
      </c>
      <c r="D58">
        <v>3</v>
      </c>
      <c r="F58">
        <v>1</v>
      </c>
      <c r="G58" t="s">
        <v>65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2</v>
      </c>
      <c r="U58">
        <v>1</v>
      </c>
      <c r="V58">
        <v>1</v>
      </c>
      <c r="W58" t="s">
        <v>54</v>
      </c>
      <c r="AA58" t="s">
        <v>43</v>
      </c>
      <c r="AB58">
        <v>2</v>
      </c>
      <c r="AD58">
        <v>1</v>
      </c>
      <c r="AE58" t="s">
        <v>135</v>
      </c>
      <c r="AI58">
        <v>5</v>
      </c>
      <c r="AJ58">
        <v>29</v>
      </c>
    </row>
    <row r="59" spans="1:36" x14ac:dyDescent="0.4">
      <c r="A59" t="s">
        <v>238</v>
      </c>
      <c r="B59">
        <v>57</v>
      </c>
      <c r="C59" t="s">
        <v>45</v>
      </c>
      <c r="D59">
        <v>3</v>
      </c>
      <c r="F59">
        <v>1</v>
      </c>
      <c r="G59" t="s">
        <v>86</v>
      </c>
      <c r="K59" t="s">
        <v>63</v>
      </c>
      <c r="L59">
        <v>2</v>
      </c>
      <c r="N59">
        <v>1</v>
      </c>
      <c r="O59" t="s">
        <v>72</v>
      </c>
      <c r="S59" t="s">
        <v>53</v>
      </c>
      <c r="T59">
        <v>1</v>
      </c>
      <c r="U59">
        <v>1</v>
      </c>
      <c r="V59">
        <v>1</v>
      </c>
      <c r="W59" t="s">
        <v>54</v>
      </c>
      <c r="AA59" t="s">
        <v>43</v>
      </c>
      <c r="AB59">
        <v>1</v>
      </c>
      <c r="AD59">
        <v>1</v>
      </c>
      <c r="AE59" t="s">
        <v>135</v>
      </c>
      <c r="AF59" t="s">
        <v>136</v>
      </c>
      <c r="AI59">
        <v>4</v>
      </c>
      <c r="AJ59">
        <v>24</v>
      </c>
    </row>
    <row r="60" spans="1:36" x14ac:dyDescent="0.4">
      <c r="A60" t="s">
        <v>239</v>
      </c>
      <c r="B60">
        <v>58</v>
      </c>
      <c r="C60" t="s">
        <v>53</v>
      </c>
      <c r="D60">
        <v>2</v>
      </c>
      <c r="E60">
        <v>1</v>
      </c>
      <c r="F60">
        <v>1</v>
      </c>
      <c r="G60" t="s">
        <v>54</v>
      </c>
      <c r="K60" t="s">
        <v>43</v>
      </c>
      <c r="L60">
        <v>3</v>
      </c>
      <c r="N60">
        <v>1</v>
      </c>
      <c r="O60" t="s">
        <v>135</v>
      </c>
      <c r="P60" t="s">
        <v>74</v>
      </c>
      <c r="S60" t="s">
        <v>45</v>
      </c>
      <c r="T60">
        <v>3</v>
      </c>
      <c r="V60">
        <v>1</v>
      </c>
      <c r="W60" t="s">
        <v>86</v>
      </c>
      <c r="AA60" t="s">
        <v>38</v>
      </c>
      <c r="AB60">
        <v>2</v>
      </c>
      <c r="AC60">
        <v>1</v>
      </c>
      <c r="AD60">
        <v>1</v>
      </c>
      <c r="AE60" t="s">
        <v>152</v>
      </c>
      <c r="AI60">
        <v>7</v>
      </c>
      <c r="AJ60">
        <v>31</v>
      </c>
    </row>
    <row r="61" spans="1:36" x14ac:dyDescent="0.4">
      <c r="A61" t="s">
        <v>240</v>
      </c>
      <c r="B61">
        <v>59</v>
      </c>
      <c r="C61" t="s">
        <v>53</v>
      </c>
      <c r="D61">
        <v>1</v>
      </c>
      <c r="E61">
        <v>1</v>
      </c>
      <c r="F61">
        <v>1</v>
      </c>
      <c r="G61" t="s">
        <v>54</v>
      </c>
      <c r="H61" t="s">
        <v>83</v>
      </c>
      <c r="K61" t="s">
        <v>43</v>
      </c>
      <c r="L61">
        <v>2</v>
      </c>
      <c r="N61">
        <v>1</v>
      </c>
      <c r="O61" t="s">
        <v>135</v>
      </c>
      <c r="P61" t="s">
        <v>99</v>
      </c>
      <c r="Q61" t="s">
        <v>137</v>
      </c>
      <c r="S61" t="s">
        <v>63</v>
      </c>
      <c r="T61">
        <v>1</v>
      </c>
      <c r="V61">
        <v>1</v>
      </c>
      <c r="W61" t="s">
        <v>72</v>
      </c>
      <c r="X61" t="s">
        <v>91</v>
      </c>
      <c r="AA61" t="s">
        <v>38</v>
      </c>
      <c r="AB61">
        <v>2</v>
      </c>
      <c r="AC61">
        <v>1</v>
      </c>
      <c r="AD61">
        <v>1</v>
      </c>
      <c r="AE61" t="s">
        <v>152</v>
      </c>
      <c r="AF61" t="s">
        <v>40</v>
      </c>
      <c r="AI61">
        <v>7</v>
      </c>
      <c r="AJ61">
        <v>33</v>
      </c>
    </row>
    <row r="62" spans="1:36" x14ac:dyDescent="0.4">
      <c r="A62" t="s">
        <v>241</v>
      </c>
      <c r="B62">
        <v>60</v>
      </c>
      <c r="C62" t="s">
        <v>56</v>
      </c>
      <c r="D62">
        <v>2</v>
      </c>
      <c r="F62">
        <v>3</v>
      </c>
      <c r="G62" t="s">
        <v>57</v>
      </c>
      <c r="K62" t="s">
        <v>48</v>
      </c>
      <c r="L62">
        <v>1</v>
      </c>
      <c r="N62">
        <v>1</v>
      </c>
      <c r="O62" t="s">
        <v>49</v>
      </c>
      <c r="S62" t="s">
        <v>53</v>
      </c>
      <c r="T62">
        <v>3</v>
      </c>
      <c r="U62">
        <v>1</v>
      </c>
      <c r="V62">
        <v>1</v>
      </c>
      <c r="W62" t="s">
        <v>54</v>
      </c>
      <c r="X62" t="s">
        <v>83</v>
      </c>
      <c r="Y62" t="s">
        <v>97</v>
      </c>
      <c r="AA62" t="s">
        <v>45</v>
      </c>
      <c r="AB62">
        <v>3</v>
      </c>
      <c r="AD62">
        <v>1</v>
      </c>
      <c r="AE62" t="s">
        <v>47</v>
      </c>
      <c r="AI62">
        <v>9</v>
      </c>
      <c r="AJ62">
        <v>37</v>
      </c>
    </row>
    <row r="63" spans="1:36" x14ac:dyDescent="0.4">
      <c r="A63" t="s">
        <v>242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H63" t="s">
        <v>113</v>
      </c>
      <c r="K63" t="s">
        <v>45</v>
      </c>
      <c r="L63">
        <v>3</v>
      </c>
      <c r="N63">
        <v>1</v>
      </c>
      <c r="O63" t="s">
        <v>47</v>
      </c>
      <c r="S63" t="s">
        <v>56</v>
      </c>
      <c r="T63">
        <v>2</v>
      </c>
      <c r="V63">
        <v>1</v>
      </c>
      <c r="W63" t="s">
        <v>57</v>
      </c>
      <c r="AA63" t="s">
        <v>33</v>
      </c>
      <c r="AB63">
        <v>2</v>
      </c>
      <c r="AD63">
        <v>1</v>
      </c>
      <c r="AE63" t="s">
        <v>46</v>
      </c>
      <c r="AI63">
        <v>5</v>
      </c>
      <c r="AJ63">
        <v>27</v>
      </c>
    </row>
    <row r="64" spans="1:36" x14ac:dyDescent="0.4">
      <c r="A64" t="s">
        <v>243</v>
      </c>
      <c r="B64">
        <v>62</v>
      </c>
      <c r="C64" t="s">
        <v>53</v>
      </c>
      <c r="D64">
        <v>2</v>
      </c>
      <c r="E64">
        <v>1</v>
      </c>
      <c r="F64">
        <v>1</v>
      </c>
      <c r="G64" t="s">
        <v>54</v>
      </c>
      <c r="H64" t="s">
        <v>55</v>
      </c>
      <c r="K64" t="s">
        <v>45</v>
      </c>
      <c r="L64">
        <v>2</v>
      </c>
      <c r="N64">
        <v>1</v>
      </c>
      <c r="O64" t="s">
        <v>47</v>
      </c>
      <c r="S64" t="s">
        <v>56</v>
      </c>
      <c r="T64">
        <v>2</v>
      </c>
      <c r="V64">
        <v>1</v>
      </c>
      <c r="W64" t="s">
        <v>68</v>
      </c>
      <c r="AA64" t="s">
        <v>43</v>
      </c>
      <c r="AB64">
        <v>1</v>
      </c>
      <c r="AD64">
        <v>1</v>
      </c>
      <c r="AE64" t="s">
        <v>135</v>
      </c>
      <c r="AI64">
        <v>4</v>
      </c>
      <c r="AJ64">
        <v>22</v>
      </c>
    </row>
    <row r="65" spans="1:36" x14ac:dyDescent="0.4">
      <c r="A65" t="s">
        <v>244</v>
      </c>
      <c r="B65">
        <v>63</v>
      </c>
      <c r="C65" t="s">
        <v>53</v>
      </c>
      <c r="D65">
        <v>1</v>
      </c>
      <c r="E65">
        <v>1</v>
      </c>
      <c r="F65">
        <v>1</v>
      </c>
      <c r="G65" t="s">
        <v>54</v>
      </c>
      <c r="H65" t="s">
        <v>55</v>
      </c>
      <c r="I65" t="s">
        <v>114</v>
      </c>
      <c r="J65" t="s">
        <v>116</v>
      </c>
      <c r="K65" t="s">
        <v>45</v>
      </c>
      <c r="L65">
        <v>3</v>
      </c>
      <c r="N65">
        <v>2</v>
      </c>
      <c r="O65" t="s">
        <v>47</v>
      </c>
      <c r="P65" t="s">
        <v>141</v>
      </c>
      <c r="S65" t="s">
        <v>56</v>
      </c>
      <c r="T65">
        <v>1</v>
      </c>
      <c r="V65">
        <v>3</v>
      </c>
      <c r="W65" t="s">
        <v>57</v>
      </c>
      <c r="AA65" t="s">
        <v>63</v>
      </c>
      <c r="AB65">
        <v>1</v>
      </c>
      <c r="AD65">
        <v>1</v>
      </c>
      <c r="AE65" t="s">
        <v>72</v>
      </c>
      <c r="AI65">
        <v>9</v>
      </c>
      <c r="AJ65">
        <v>34</v>
      </c>
    </row>
    <row r="66" spans="1:36" x14ac:dyDescent="0.4">
      <c r="A66" t="s">
        <v>245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54</v>
      </c>
      <c r="H66" t="s">
        <v>83</v>
      </c>
      <c r="I66" t="s">
        <v>105</v>
      </c>
      <c r="K66" t="s">
        <v>45</v>
      </c>
      <c r="L66">
        <v>2</v>
      </c>
      <c r="N66">
        <v>1</v>
      </c>
      <c r="O66" t="s">
        <v>47</v>
      </c>
      <c r="S66" t="s">
        <v>56</v>
      </c>
      <c r="T66">
        <v>1</v>
      </c>
      <c r="V66">
        <v>2</v>
      </c>
      <c r="W66" t="s">
        <v>57</v>
      </c>
      <c r="AA66" t="s">
        <v>38</v>
      </c>
      <c r="AB66">
        <v>1</v>
      </c>
      <c r="AC66">
        <v>2</v>
      </c>
      <c r="AD66">
        <v>1</v>
      </c>
      <c r="AE66" t="s">
        <v>152</v>
      </c>
      <c r="AF66" t="s">
        <v>96</v>
      </c>
      <c r="AG66" t="s">
        <v>154</v>
      </c>
      <c r="AI66">
        <v>8</v>
      </c>
      <c r="AJ66">
        <v>33</v>
      </c>
    </row>
    <row r="67" spans="1:36" x14ac:dyDescent="0.4">
      <c r="A67" t="s">
        <v>246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H67" t="s">
        <v>83</v>
      </c>
      <c r="K67" t="s">
        <v>45</v>
      </c>
      <c r="L67">
        <v>3</v>
      </c>
      <c r="N67">
        <v>1</v>
      </c>
      <c r="O67" t="s">
        <v>47</v>
      </c>
      <c r="S67" t="s">
        <v>48</v>
      </c>
      <c r="T67">
        <v>1</v>
      </c>
      <c r="V67">
        <v>1</v>
      </c>
      <c r="W67" t="s">
        <v>49</v>
      </c>
      <c r="X67" t="s">
        <v>50</v>
      </c>
      <c r="AA67" t="s">
        <v>33</v>
      </c>
      <c r="AB67">
        <v>1</v>
      </c>
      <c r="AD67">
        <v>1</v>
      </c>
      <c r="AE67" t="s">
        <v>65</v>
      </c>
      <c r="AF67" t="s">
        <v>35</v>
      </c>
      <c r="AG67" t="s">
        <v>131</v>
      </c>
      <c r="AI67">
        <v>6</v>
      </c>
      <c r="AJ67">
        <v>31</v>
      </c>
    </row>
    <row r="68" spans="1:36" x14ac:dyDescent="0.4">
      <c r="A68" t="s">
        <v>247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54</v>
      </c>
      <c r="K68" t="s">
        <v>45</v>
      </c>
      <c r="L68">
        <v>2</v>
      </c>
      <c r="N68">
        <v>2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AA68" t="s">
        <v>43</v>
      </c>
      <c r="AB68">
        <v>2</v>
      </c>
      <c r="AD68">
        <v>1</v>
      </c>
      <c r="AE68" t="s">
        <v>135</v>
      </c>
      <c r="AF68" t="s">
        <v>74</v>
      </c>
      <c r="AI68">
        <v>6</v>
      </c>
      <c r="AJ68">
        <v>38</v>
      </c>
    </row>
    <row r="69" spans="1:36" x14ac:dyDescent="0.4">
      <c r="A69" t="s">
        <v>248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54</v>
      </c>
      <c r="K69" t="s">
        <v>45</v>
      </c>
      <c r="L69">
        <v>2</v>
      </c>
      <c r="N69">
        <v>1</v>
      </c>
      <c r="O69" t="s">
        <v>47</v>
      </c>
      <c r="S69" t="s">
        <v>48</v>
      </c>
      <c r="T69">
        <v>1</v>
      </c>
      <c r="V69">
        <v>1</v>
      </c>
      <c r="W69" t="s">
        <v>49</v>
      </c>
      <c r="X69" t="s">
        <v>50</v>
      </c>
      <c r="AA69" t="s">
        <v>63</v>
      </c>
      <c r="AB69">
        <v>1</v>
      </c>
      <c r="AD69">
        <v>1</v>
      </c>
      <c r="AE69" t="s">
        <v>72</v>
      </c>
      <c r="AI69">
        <v>3</v>
      </c>
      <c r="AJ69">
        <v>27</v>
      </c>
    </row>
    <row r="70" spans="1:36" x14ac:dyDescent="0.4">
      <c r="A70" t="s">
        <v>249</v>
      </c>
      <c r="B70">
        <v>68</v>
      </c>
      <c r="C70" t="s">
        <v>53</v>
      </c>
      <c r="D70">
        <v>2</v>
      </c>
      <c r="E70">
        <v>1</v>
      </c>
      <c r="F70">
        <v>1</v>
      </c>
      <c r="G70" t="s">
        <v>54</v>
      </c>
      <c r="K70" t="s">
        <v>45</v>
      </c>
      <c r="L70">
        <v>2</v>
      </c>
      <c r="N70">
        <v>1</v>
      </c>
      <c r="O70" t="s">
        <v>47</v>
      </c>
      <c r="S70" t="s">
        <v>48</v>
      </c>
      <c r="T70">
        <v>1</v>
      </c>
      <c r="V70">
        <v>2</v>
      </c>
      <c r="W70" t="s">
        <v>49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I70">
        <v>3</v>
      </c>
      <c r="AJ70">
        <v>27</v>
      </c>
    </row>
    <row r="71" spans="1:36" x14ac:dyDescent="0.4">
      <c r="A71" t="s">
        <v>250</v>
      </c>
      <c r="B71">
        <v>69</v>
      </c>
      <c r="C71" t="s">
        <v>33</v>
      </c>
      <c r="D71">
        <v>1</v>
      </c>
      <c r="F71">
        <v>3</v>
      </c>
      <c r="G71" t="s">
        <v>46</v>
      </c>
      <c r="H71" t="s">
        <v>35</v>
      </c>
      <c r="I71" t="s">
        <v>131</v>
      </c>
      <c r="K71" t="s">
        <v>43</v>
      </c>
      <c r="L71">
        <v>2</v>
      </c>
      <c r="N71">
        <v>1</v>
      </c>
      <c r="O71" t="s">
        <v>135</v>
      </c>
      <c r="S71" t="s">
        <v>53</v>
      </c>
      <c r="T71">
        <v>3</v>
      </c>
      <c r="U71">
        <v>1</v>
      </c>
      <c r="V71">
        <v>1</v>
      </c>
      <c r="W71" t="s">
        <v>54</v>
      </c>
      <c r="AA71" t="s">
        <v>45</v>
      </c>
      <c r="AB71">
        <v>2</v>
      </c>
      <c r="AD71">
        <v>1</v>
      </c>
      <c r="AE71" t="s">
        <v>47</v>
      </c>
      <c r="AI71">
        <v>8</v>
      </c>
      <c r="AJ71">
        <v>29</v>
      </c>
    </row>
    <row r="72" spans="1:36" x14ac:dyDescent="0.4">
      <c r="A72" t="s">
        <v>251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H72" t="s">
        <v>113</v>
      </c>
      <c r="K72" t="s">
        <v>45</v>
      </c>
      <c r="L72">
        <v>3</v>
      </c>
      <c r="N72">
        <v>1</v>
      </c>
      <c r="O72" t="s">
        <v>47</v>
      </c>
      <c r="S72" t="s">
        <v>33</v>
      </c>
      <c r="T72">
        <v>2</v>
      </c>
      <c r="V72">
        <v>2</v>
      </c>
      <c r="W72" t="s">
        <v>46</v>
      </c>
      <c r="X72" t="s">
        <v>35</v>
      </c>
      <c r="AA72" t="s">
        <v>63</v>
      </c>
      <c r="AB72">
        <v>2</v>
      </c>
      <c r="AD72">
        <v>1</v>
      </c>
      <c r="AE72" t="s">
        <v>72</v>
      </c>
      <c r="AF72" t="s">
        <v>146</v>
      </c>
      <c r="AI72">
        <v>9</v>
      </c>
      <c r="AJ72">
        <v>36</v>
      </c>
    </row>
    <row r="73" spans="1:36" x14ac:dyDescent="0.4">
      <c r="A73" t="s">
        <v>252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54</v>
      </c>
      <c r="K73" t="s">
        <v>45</v>
      </c>
      <c r="L73">
        <v>2</v>
      </c>
      <c r="N73">
        <v>1</v>
      </c>
      <c r="O73" t="s">
        <v>47</v>
      </c>
      <c r="S73" t="s">
        <v>33</v>
      </c>
      <c r="T73">
        <v>2</v>
      </c>
      <c r="V73">
        <v>2</v>
      </c>
      <c r="W73" t="s">
        <v>46</v>
      </c>
      <c r="X73" t="s">
        <v>66</v>
      </c>
      <c r="Y73" t="s">
        <v>132</v>
      </c>
      <c r="AA73" t="s">
        <v>38</v>
      </c>
      <c r="AB73">
        <v>1</v>
      </c>
      <c r="AC73">
        <v>1</v>
      </c>
      <c r="AD73">
        <v>2</v>
      </c>
      <c r="AE73" t="s">
        <v>152</v>
      </c>
      <c r="AI73">
        <v>6</v>
      </c>
      <c r="AJ73">
        <v>38</v>
      </c>
    </row>
    <row r="74" spans="1:36" x14ac:dyDescent="0.4">
      <c r="A74" t="s">
        <v>253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H74" t="s">
        <v>113</v>
      </c>
      <c r="K74" t="s">
        <v>45</v>
      </c>
      <c r="L74">
        <v>2</v>
      </c>
      <c r="N74">
        <v>1</v>
      </c>
      <c r="O74" t="s">
        <v>86</v>
      </c>
      <c r="S74" t="s">
        <v>43</v>
      </c>
      <c r="T74">
        <v>2</v>
      </c>
      <c r="V74">
        <v>1</v>
      </c>
      <c r="W74" t="s">
        <v>135</v>
      </c>
      <c r="AA74" t="s">
        <v>63</v>
      </c>
      <c r="AB74">
        <v>1</v>
      </c>
      <c r="AD74">
        <v>1</v>
      </c>
      <c r="AE74" t="s">
        <v>103</v>
      </c>
      <c r="AI74">
        <v>3</v>
      </c>
      <c r="AJ74">
        <v>25</v>
      </c>
    </row>
    <row r="75" spans="1:36" x14ac:dyDescent="0.4">
      <c r="A75" t="s">
        <v>254</v>
      </c>
      <c r="B75">
        <v>73</v>
      </c>
      <c r="C75" t="s">
        <v>43</v>
      </c>
      <c r="D75">
        <v>2</v>
      </c>
      <c r="F75">
        <v>1</v>
      </c>
      <c r="G75" t="s">
        <v>135</v>
      </c>
      <c r="K75" t="s">
        <v>38</v>
      </c>
      <c r="L75">
        <v>2</v>
      </c>
      <c r="M75">
        <v>2</v>
      </c>
      <c r="N75">
        <v>3</v>
      </c>
      <c r="O75" t="s">
        <v>152</v>
      </c>
      <c r="P75" t="s">
        <v>96</v>
      </c>
      <c r="Q75" t="s">
        <v>41</v>
      </c>
      <c r="S75" t="s">
        <v>53</v>
      </c>
      <c r="T75">
        <v>2</v>
      </c>
      <c r="U75">
        <v>1</v>
      </c>
      <c r="V75">
        <v>1</v>
      </c>
      <c r="W75" t="s">
        <v>54</v>
      </c>
      <c r="X75" t="s">
        <v>55</v>
      </c>
      <c r="AA75" t="s">
        <v>45</v>
      </c>
      <c r="AB75">
        <v>2</v>
      </c>
      <c r="AD75">
        <v>2</v>
      </c>
      <c r="AE75" t="s">
        <v>140</v>
      </c>
      <c r="AF75" t="s">
        <v>76</v>
      </c>
      <c r="AG75" t="s">
        <v>142</v>
      </c>
      <c r="AI75">
        <v>13</v>
      </c>
      <c r="AJ75">
        <v>43</v>
      </c>
    </row>
    <row r="76" spans="1:36" x14ac:dyDescent="0.4">
      <c r="A76" t="s">
        <v>255</v>
      </c>
      <c r="B76">
        <v>74</v>
      </c>
      <c r="C76" t="s">
        <v>53</v>
      </c>
      <c r="D76">
        <v>3</v>
      </c>
      <c r="E76">
        <v>1</v>
      </c>
      <c r="F76">
        <v>1</v>
      </c>
      <c r="G76" t="s">
        <v>54</v>
      </c>
      <c r="K76" t="s">
        <v>45</v>
      </c>
      <c r="L76">
        <v>2</v>
      </c>
      <c r="N76">
        <v>2</v>
      </c>
      <c r="O76" t="s">
        <v>86</v>
      </c>
      <c r="S76" t="s">
        <v>63</v>
      </c>
      <c r="T76">
        <v>2</v>
      </c>
      <c r="V76">
        <v>1</v>
      </c>
      <c r="W76" t="s">
        <v>72</v>
      </c>
      <c r="AA76" t="s">
        <v>38</v>
      </c>
      <c r="AB76">
        <v>2</v>
      </c>
      <c r="AC76">
        <v>1</v>
      </c>
      <c r="AD76">
        <v>3</v>
      </c>
      <c r="AE76" t="s">
        <v>152</v>
      </c>
      <c r="AF76" t="s">
        <v>96</v>
      </c>
      <c r="AI76">
        <v>9</v>
      </c>
      <c r="AJ76">
        <v>40</v>
      </c>
    </row>
    <row r="77" spans="1:36" x14ac:dyDescent="0.4">
      <c r="A77" t="s">
        <v>256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K77" t="s">
        <v>48</v>
      </c>
      <c r="L77">
        <v>1</v>
      </c>
      <c r="N77">
        <v>1</v>
      </c>
      <c r="O77" t="s">
        <v>49</v>
      </c>
      <c r="P77" t="s">
        <v>50</v>
      </c>
      <c r="Q77" t="s">
        <v>51</v>
      </c>
      <c r="S77" t="s">
        <v>53</v>
      </c>
      <c r="T77">
        <v>2</v>
      </c>
      <c r="U77">
        <v>1</v>
      </c>
      <c r="V77">
        <v>1</v>
      </c>
      <c r="W77" t="s">
        <v>54</v>
      </c>
      <c r="AA77" t="s">
        <v>63</v>
      </c>
      <c r="AB77">
        <v>3</v>
      </c>
      <c r="AD77">
        <v>1</v>
      </c>
      <c r="AE77" t="s">
        <v>72</v>
      </c>
      <c r="AI77">
        <v>6</v>
      </c>
      <c r="AJ77">
        <v>34</v>
      </c>
    </row>
    <row r="78" spans="1:36" x14ac:dyDescent="0.4">
      <c r="A78" t="s">
        <v>257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K78" t="s">
        <v>33</v>
      </c>
      <c r="L78">
        <v>3</v>
      </c>
      <c r="N78">
        <v>1</v>
      </c>
      <c r="O78" t="s">
        <v>46</v>
      </c>
      <c r="P78" t="s">
        <v>66</v>
      </c>
      <c r="Q78" t="s">
        <v>131</v>
      </c>
      <c r="S78" t="s">
        <v>53</v>
      </c>
      <c r="T78">
        <v>2</v>
      </c>
      <c r="U78">
        <v>1</v>
      </c>
      <c r="V78">
        <v>1</v>
      </c>
      <c r="W78" t="s">
        <v>54</v>
      </c>
      <c r="AA78" t="s">
        <v>63</v>
      </c>
      <c r="AB78">
        <v>2</v>
      </c>
      <c r="AD78">
        <v>2</v>
      </c>
      <c r="AE78" t="s">
        <v>72</v>
      </c>
      <c r="AF78" t="s">
        <v>146</v>
      </c>
      <c r="AI78">
        <v>9</v>
      </c>
      <c r="AJ78">
        <v>34</v>
      </c>
    </row>
    <row r="79" spans="1:36" x14ac:dyDescent="0.4">
      <c r="A79" t="s">
        <v>258</v>
      </c>
      <c r="B79">
        <v>77</v>
      </c>
      <c r="C79" t="s">
        <v>56</v>
      </c>
      <c r="D79">
        <v>1</v>
      </c>
      <c r="F79">
        <v>1</v>
      </c>
      <c r="G79" t="s">
        <v>57</v>
      </c>
      <c r="H79" t="s">
        <v>122</v>
      </c>
      <c r="K79" t="s">
        <v>43</v>
      </c>
      <c r="L79">
        <v>1</v>
      </c>
      <c r="N79">
        <v>1</v>
      </c>
      <c r="O79" t="s">
        <v>135</v>
      </c>
      <c r="P79" t="s">
        <v>99</v>
      </c>
      <c r="Q79" t="s">
        <v>137</v>
      </c>
      <c r="S79" t="s">
        <v>53</v>
      </c>
      <c r="T79">
        <v>1</v>
      </c>
      <c r="U79">
        <v>1</v>
      </c>
      <c r="V79">
        <v>1</v>
      </c>
      <c r="W79" t="s">
        <v>54</v>
      </c>
      <c r="X79" t="s">
        <v>83</v>
      </c>
      <c r="AA79" t="s">
        <v>63</v>
      </c>
      <c r="AB79">
        <v>2</v>
      </c>
      <c r="AD79">
        <v>1</v>
      </c>
      <c r="AE79" t="s">
        <v>72</v>
      </c>
      <c r="AI79">
        <v>5</v>
      </c>
      <c r="AJ79">
        <v>29</v>
      </c>
    </row>
    <row r="80" spans="1:36" x14ac:dyDescent="0.4">
      <c r="A80" t="s">
        <v>259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H80" t="s">
        <v>83</v>
      </c>
      <c r="K80" t="s">
        <v>63</v>
      </c>
      <c r="L80">
        <v>2</v>
      </c>
      <c r="N80">
        <v>1</v>
      </c>
      <c r="O80" t="s">
        <v>72</v>
      </c>
      <c r="P80" t="s">
        <v>95</v>
      </c>
      <c r="S80" t="s">
        <v>56</v>
      </c>
      <c r="T80">
        <v>1</v>
      </c>
      <c r="V80">
        <v>2</v>
      </c>
      <c r="W80" t="s">
        <v>57</v>
      </c>
      <c r="AA80" t="s">
        <v>45</v>
      </c>
      <c r="AB80">
        <v>2</v>
      </c>
      <c r="AD80">
        <v>1</v>
      </c>
      <c r="AE80" t="s">
        <v>47</v>
      </c>
      <c r="AF80" t="s">
        <v>92</v>
      </c>
      <c r="AI80">
        <v>7</v>
      </c>
      <c r="AJ80">
        <v>34</v>
      </c>
    </row>
    <row r="81" spans="1:36" x14ac:dyDescent="0.4">
      <c r="A81" t="s">
        <v>260</v>
      </c>
      <c r="B81">
        <v>79</v>
      </c>
      <c r="C81" t="s">
        <v>56</v>
      </c>
      <c r="D81">
        <v>2</v>
      </c>
      <c r="F81">
        <v>1</v>
      </c>
      <c r="G81" t="s">
        <v>57</v>
      </c>
      <c r="H81" t="s">
        <v>122</v>
      </c>
      <c r="K81" t="s">
        <v>38</v>
      </c>
      <c r="L81">
        <v>1</v>
      </c>
      <c r="M81">
        <v>1</v>
      </c>
      <c r="N81">
        <v>1</v>
      </c>
      <c r="O81" t="s">
        <v>152</v>
      </c>
      <c r="P81" t="s">
        <v>96</v>
      </c>
      <c r="S81" t="s">
        <v>53</v>
      </c>
      <c r="T81">
        <v>2</v>
      </c>
      <c r="U81">
        <v>1</v>
      </c>
      <c r="V81">
        <v>2</v>
      </c>
      <c r="W81" t="s">
        <v>54</v>
      </c>
      <c r="AA81" t="s">
        <v>63</v>
      </c>
      <c r="AB81">
        <v>2</v>
      </c>
      <c r="AD81">
        <v>1</v>
      </c>
      <c r="AE81" t="s">
        <v>72</v>
      </c>
      <c r="AI81">
        <v>6</v>
      </c>
      <c r="AJ81">
        <v>33</v>
      </c>
    </row>
    <row r="82" spans="1:36" x14ac:dyDescent="0.4">
      <c r="A82" t="s">
        <v>261</v>
      </c>
      <c r="B82">
        <v>80</v>
      </c>
      <c r="C82" t="s">
        <v>48</v>
      </c>
      <c r="D82">
        <v>3</v>
      </c>
      <c r="F82">
        <v>1</v>
      </c>
      <c r="G82" t="s">
        <v>49</v>
      </c>
      <c r="K82" t="s">
        <v>33</v>
      </c>
      <c r="L82">
        <v>3</v>
      </c>
      <c r="N82">
        <v>1</v>
      </c>
      <c r="O82" t="s">
        <v>65</v>
      </c>
      <c r="S82" t="s">
        <v>53</v>
      </c>
      <c r="T82">
        <v>2</v>
      </c>
      <c r="U82">
        <v>1</v>
      </c>
      <c r="V82">
        <v>1</v>
      </c>
      <c r="W82" t="s">
        <v>54</v>
      </c>
      <c r="AA82" t="s">
        <v>63</v>
      </c>
      <c r="AB82">
        <v>1</v>
      </c>
      <c r="AD82">
        <v>1</v>
      </c>
      <c r="AE82" t="s">
        <v>72</v>
      </c>
      <c r="AF82" t="s">
        <v>146</v>
      </c>
      <c r="AI82">
        <v>6</v>
      </c>
      <c r="AJ82">
        <v>35</v>
      </c>
    </row>
    <row r="83" spans="1:36" x14ac:dyDescent="0.4">
      <c r="A83" t="s">
        <v>262</v>
      </c>
      <c r="B83">
        <v>81</v>
      </c>
      <c r="C83" t="s">
        <v>53</v>
      </c>
      <c r="D83">
        <v>2</v>
      </c>
      <c r="E83">
        <v>1</v>
      </c>
      <c r="F83">
        <v>2</v>
      </c>
      <c r="G83" t="s">
        <v>54</v>
      </c>
      <c r="K83" t="s">
        <v>63</v>
      </c>
      <c r="L83">
        <v>2</v>
      </c>
      <c r="N83">
        <v>1</v>
      </c>
      <c r="O83" t="s">
        <v>72</v>
      </c>
      <c r="S83" t="s">
        <v>48</v>
      </c>
      <c r="T83">
        <v>2</v>
      </c>
      <c r="V83">
        <v>1</v>
      </c>
      <c r="W83" t="s">
        <v>49</v>
      </c>
      <c r="AA83" t="s">
        <v>43</v>
      </c>
      <c r="AB83">
        <v>2</v>
      </c>
      <c r="AD83">
        <v>1</v>
      </c>
      <c r="AE83" t="s">
        <v>135</v>
      </c>
      <c r="AF83" t="s">
        <v>99</v>
      </c>
      <c r="AI83">
        <v>6</v>
      </c>
      <c r="AJ83">
        <v>30</v>
      </c>
    </row>
    <row r="84" spans="1:36" x14ac:dyDescent="0.4">
      <c r="A84" t="s">
        <v>263</v>
      </c>
      <c r="B84">
        <v>82</v>
      </c>
      <c r="C84" t="s">
        <v>53</v>
      </c>
      <c r="D84">
        <v>3</v>
      </c>
      <c r="E84">
        <v>1</v>
      </c>
      <c r="F84">
        <v>1</v>
      </c>
      <c r="G84" t="s">
        <v>54</v>
      </c>
      <c r="H84" t="s">
        <v>55</v>
      </c>
      <c r="I84" t="s">
        <v>114</v>
      </c>
      <c r="K84" t="s">
        <v>63</v>
      </c>
      <c r="L84">
        <v>2</v>
      </c>
      <c r="N84">
        <v>1</v>
      </c>
      <c r="O84" t="s">
        <v>72</v>
      </c>
      <c r="S84" t="s">
        <v>48</v>
      </c>
      <c r="T84">
        <v>1</v>
      </c>
      <c r="V84">
        <v>2</v>
      </c>
      <c r="W84" t="s">
        <v>49</v>
      </c>
      <c r="X84" t="s">
        <v>84</v>
      </c>
      <c r="AA84" t="s">
        <v>45</v>
      </c>
      <c r="AB84">
        <v>2</v>
      </c>
      <c r="AD84">
        <v>1</v>
      </c>
      <c r="AE84" t="s">
        <v>47</v>
      </c>
      <c r="AI84">
        <v>8</v>
      </c>
      <c r="AJ84">
        <v>35</v>
      </c>
    </row>
    <row r="85" spans="1:36" x14ac:dyDescent="0.4">
      <c r="A85" t="s">
        <v>264</v>
      </c>
      <c r="B85">
        <v>83</v>
      </c>
      <c r="C85" t="s">
        <v>53</v>
      </c>
      <c r="D85">
        <v>2</v>
      </c>
      <c r="E85">
        <v>1</v>
      </c>
      <c r="F85">
        <v>1</v>
      </c>
      <c r="G85" t="s">
        <v>54</v>
      </c>
      <c r="K85" t="s">
        <v>63</v>
      </c>
      <c r="L85">
        <v>1</v>
      </c>
      <c r="N85">
        <v>1</v>
      </c>
      <c r="O85" t="s">
        <v>72</v>
      </c>
      <c r="S85" t="s">
        <v>48</v>
      </c>
      <c r="T85">
        <v>1</v>
      </c>
      <c r="V85">
        <v>1</v>
      </c>
      <c r="W85" t="s">
        <v>49</v>
      </c>
      <c r="X85" t="s">
        <v>50</v>
      </c>
      <c r="AA85" t="s">
        <v>38</v>
      </c>
      <c r="AB85">
        <v>1</v>
      </c>
      <c r="AC85">
        <v>1</v>
      </c>
      <c r="AD85">
        <v>1</v>
      </c>
      <c r="AE85" t="s">
        <v>152</v>
      </c>
      <c r="AI85">
        <v>2</v>
      </c>
      <c r="AJ85">
        <v>23</v>
      </c>
    </row>
    <row r="86" spans="1:36" x14ac:dyDescent="0.4">
      <c r="A86" t="s">
        <v>265</v>
      </c>
      <c r="B86">
        <v>84</v>
      </c>
      <c r="C86" t="s">
        <v>33</v>
      </c>
      <c r="D86">
        <v>2</v>
      </c>
      <c r="F86">
        <v>1</v>
      </c>
      <c r="G86" t="s">
        <v>46</v>
      </c>
      <c r="K86" t="s">
        <v>43</v>
      </c>
      <c r="L86">
        <v>2</v>
      </c>
      <c r="N86">
        <v>2</v>
      </c>
      <c r="O86" t="s">
        <v>135</v>
      </c>
      <c r="P86" t="s">
        <v>99</v>
      </c>
      <c r="S86" t="s">
        <v>53</v>
      </c>
      <c r="T86">
        <v>2</v>
      </c>
      <c r="U86">
        <v>1</v>
      </c>
      <c r="V86">
        <v>1</v>
      </c>
      <c r="W86" t="s">
        <v>54</v>
      </c>
      <c r="X86" t="s">
        <v>83</v>
      </c>
      <c r="AA86" t="s">
        <v>63</v>
      </c>
      <c r="AB86">
        <v>1</v>
      </c>
      <c r="AD86">
        <v>1</v>
      </c>
      <c r="AE86" t="s">
        <v>72</v>
      </c>
      <c r="AF86" t="s">
        <v>146</v>
      </c>
      <c r="AI86">
        <v>7</v>
      </c>
      <c r="AJ86">
        <v>46</v>
      </c>
    </row>
    <row r="87" spans="1:36" x14ac:dyDescent="0.4">
      <c r="A87" t="s">
        <v>266</v>
      </c>
      <c r="B87">
        <v>85</v>
      </c>
      <c r="C87" t="s">
        <v>33</v>
      </c>
      <c r="D87">
        <v>2</v>
      </c>
      <c r="F87">
        <v>2</v>
      </c>
      <c r="G87" t="s">
        <v>46</v>
      </c>
      <c r="K87" t="s">
        <v>45</v>
      </c>
      <c r="L87">
        <v>2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111</v>
      </c>
      <c r="AA87" t="s">
        <v>63</v>
      </c>
      <c r="AB87">
        <v>1</v>
      </c>
      <c r="AD87">
        <v>1</v>
      </c>
      <c r="AE87" t="s">
        <v>72</v>
      </c>
      <c r="AI87">
        <v>4</v>
      </c>
      <c r="AJ87">
        <v>24</v>
      </c>
    </row>
    <row r="88" spans="1:36" x14ac:dyDescent="0.4">
      <c r="A88" t="s">
        <v>267</v>
      </c>
      <c r="B88">
        <v>86</v>
      </c>
      <c r="C88" t="s">
        <v>33</v>
      </c>
      <c r="D88">
        <v>3</v>
      </c>
      <c r="F88">
        <v>1</v>
      </c>
      <c r="G88" t="s">
        <v>65</v>
      </c>
      <c r="K88" t="s">
        <v>38</v>
      </c>
      <c r="L88">
        <v>2</v>
      </c>
      <c r="M88">
        <v>1</v>
      </c>
      <c r="N88">
        <v>1</v>
      </c>
      <c r="O88" t="s">
        <v>152</v>
      </c>
      <c r="P88" t="s">
        <v>96</v>
      </c>
      <c r="S88" t="s">
        <v>53</v>
      </c>
      <c r="T88">
        <v>1</v>
      </c>
      <c r="U88">
        <v>1</v>
      </c>
      <c r="V88">
        <v>1</v>
      </c>
      <c r="W88" t="s">
        <v>54</v>
      </c>
      <c r="X88" t="s">
        <v>113</v>
      </c>
      <c r="AA88" t="s">
        <v>63</v>
      </c>
      <c r="AB88">
        <v>3</v>
      </c>
      <c r="AD88">
        <v>1</v>
      </c>
      <c r="AE88" t="s">
        <v>72</v>
      </c>
      <c r="AI88">
        <v>7</v>
      </c>
      <c r="AJ88">
        <v>29</v>
      </c>
    </row>
    <row r="89" spans="1:36" x14ac:dyDescent="0.4">
      <c r="A89" t="s">
        <v>268</v>
      </c>
      <c r="B89">
        <v>87</v>
      </c>
      <c r="C89" t="s">
        <v>53</v>
      </c>
      <c r="D89">
        <v>2</v>
      </c>
      <c r="E89">
        <v>1</v>
      </c>
      <c r="F89">
        <v>2</v>
      </c>
      <c r="G89" t="s">
        <v>54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1</v>
      </c>
      <c r="V89">
        <v>1</v>
      </c>
      <c r="W89" t="s">
        <v>135</v>
      </c>
      <c r="X89" t="s">
        <v>99</v>
      </c>
      <c r="AA89" t="s">
        <v>45</v>
      </c>
      <c r="AB89">
        <v>3</v>
      </c>
      <c r="AD89">
        <v>1</v>
      </c>
      <c r="AE89" t="s">
        <v>47</v>
      </c>
      <c r="AI89">
        <v>7</v>
      </c>
      <c r="AJ89">
        <v>31</v>
      </c>
    </row>
    <row r="90" spans="1:36" x14ac:dyDescent="0.4">
      <c r="A90" t="s">
        <v>269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54</v>
      </c>
      <c r="H90" t="s">
        <v>83</v>
      </c>
      <c r="K90" t="s">
        <v>63</v>
      </c>
      <c r="L90">
        <v>1</v>
      </c>
      <c r="N90">
        <v>1</v>
      </c>
      <c r="O90" t="s">
        <v>72</v>
      </c>
      <c r="S90" t="s">
        <v>43</v>
      </c>
      <c r="T90">
        <v>2</v>
      </c>
      <c r="V90">
        <v>1</v>
      </c>
      <c r="W90" t="s">
        <v>135</v>
      </c>
      <c r="X90" t="s">
        <v>99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4</v>
      </c>
      <c r="AJ90">
        <v>27</v>
      </c>
    </row>
    <row r="91" spans="1:36" x14ac:dyDescent="0.4">
      <c r="A91" t="s">
        <v>270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55</v>
      </c>
      <c r="K91" t="s">
        <v>63</v>
      </c>
      <c r="L91">
        <v>1</v>
      </c>
      <c r="N91">
        <v>1</v>
      </c>
      <c r="O91" t="s">
        <v>72</v>
      </c>
      <c r="S91" t="s">
        <v>45</v>
      </c>
      <c r="T91">
        <v>3</v>
      </c>
      <c r="V91">
        <v>1</v>
      </c>
      <c r="W91" t="s">
        <v>47</v>
      </c>
      <c r="AA91" t="s">
        <v>38</v>
      </c>
      <c r="AB91">
        <v>1</v>
      </c>
      <c r="AC91">
        <v>1</v>
      </c>
      <c r="AD91">
        <v>1</v>
      </c>
      <c r="AE91" t="s">
        <v>152</v>
      </c>
      <c r="AF91" t="s">
        <v>96</v>
      </c>
      <c r="AI91">
        <v>5</v>
      </c>
      <c r="AJ91">
        <v>32</v>
      </c>
    </row>
    <row r="92" spans="1:36" x14ac:dyDescent="0.4">
      <c r="A92" t="s">
        <v>271</v>
      </c>
      <c r="B92">
        <v>90</v>
      </c>
      <c r="C92" t="s">
        <v>53</v>
      </c>
      <c r="D92">
        <v>3</v>
      </c>
      <c r="E92">
        <v>1</v>
      </c>
      <c r="F92">
        <v>3</v>
      </c>
      <c r="G92" t="s">
        <v>54</v>
      </c>
      <c r="K92" t="s">
        <v>38</v>
      </c>
      <c r="L92">
        <v>2</v>
      </c>
      <c r="M92">
        <v>2</v>
      </c>
      <c r="N92">
        <v>1</v>
      </c>
      <c r="O92" t="s">
        <v>152</v>
      </c>
      <c r="S92" t="s">
        <v>56</v>
      </c>
      <c r="T92">
        <v>1</v>
      </c>
      <c r="V92">
        <v>1</v>
      </c>
      <c r="W92" t="s">
        <v>57</v>
      </c>
      <c r="X92" t="s">
        <v>122</v>
      </c>
      <c r="AA92" t="s">
        <v>48</v>
      </c>
      <c r="AB92">
        <v>1</v>
      </c>
      <c r="AD92">
        <v>2</v>
      </c>
      <c r="AE92" t="s">
        <v>49</v>
      </c>
      <c r="AF92" t="s">
        <v>84</v>
      </c>
      <c r="AG92" t="s">
        <v>51</v>
      </c>
      <c r="AH92" t="s">
        <v>52</v>
      </c>
      <c r="AI92">
        <v>11</v>
      </c>
      <c r="AJ92">
        <v>34</v>
      </c>
    </row>
    <row r="93" spans="1:36" x14ac:dyDescent="0.4">
      <c r="A93" t="s">
        <v>272</v>
      </c>
      <c r="B93">
        <v>91</v>
      </c>
      <c r="C93" t="s">
        <v>56</v>
      </c>
      <c r="D93">
        <v>1</v>
      </c>
      <c r="F93">
        <v>1</v>
      </c>
      <c r="G93" t="s">
        <v>57</v>
      </c>
      <c r="K93" t="s">
        <v>33</v>
      </c>
      <c r="L93">
        <v>2</v>
      </c>
      <c r="N93">
        <v>1</v>
      </c>
      <c r="O93" t="s">
        <v>65</v>
      </c>
      <c r="S93" t="s">
        <v>53</v>
      </c>
      <c r="T93">
        <v>2</v>
      </c>
      <c r="U93">
        <v>1</v>
      </c>
      <c r="V93">
        <v>1</v>
      </c>
      <c r="W93" t="s">
        <v>54</v>
      </c>
      <c r="AA93" t="s">
        <v>38</v>
      </c>
      <c r="AB93">
        <v>2</v>
      </c>
      <c r="AC93">
        <v>1</v>
      </c>
      <c r="AD93">
        <v>1</v>
      </c>
      <c r="AE93" t="s">
        <v>152</v>
      </c>
      <c r="AI93">
        <v>3</v>
      </c>
      <c r="AJ93">
        <v>20</v>
      </c>
    </row>
    <row r="94" spans="1:36" x14ac:dyDescent="0.4">
      <c r="A94" t="s">
        <v>273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I94" t="s">
        <v>85</v>
      </c>
      <c r="K94" t="s">
        <v>43</v>
      </c>
      <c r="L94">
        <v>1</v>
      </c>
      <c r="N94">
        <v>2</v>
      </c>
      <c r="O94" t="s">
        <v>135</v>
      </c>
      <c r="P94" t="s">
        <v>99</v>
      </c>
      <c r="S94" t="s">
        <v>53</v>
      </c>
      <c r="T94">
        <v>2</v>
      </c>
      <c r="U94">
        <v>1</v>
      </c>
      <c r="V94">
        <v>1</v>
      </c>
      <c r="W94" t="s">
        <v>54</v>
      </c>
      <c r="X94" t="s">
        <v>83</v>
      </c>
      <c r="Y94" t="s">
        <v>97</v>
      </c>
      <c r="AA94" t="s">
        <v>38</v>
      </c>
      <c r="AB94">
        <v>1</v>
      </c>
      <c r="AC94">
        <v>1</v>
      </c>
      <c r="AD94">
        <v>1</v>
      </c>
      <c r="AE94" t="s">
        <v>67</v>
      </c>
      <c r="AF94" t="s">
        <v>40</v>
      </c>
      <c r="AI94">
        <v>8</v>
      </c>
      <c r="AJ94">
        <v>30</v>
      </c>
    </row>
    <row r="95" spans="1:36" x14ac:dyDescent="0.4">
      <c r="A95" t="s">
        <v>274</v>
      </c>
      <c r="B95">
        <v>93</v>
      </c>
      <c r="C95" t="s">
        <v>53</v>
      </c>
      <c r="D95">
        <v>2</v>
      </c>
      <c r="E95">
        <v>1</v>
      </c>
      <c r="F95">
        <v>2</v>
      </c>
      <c r="G95" t="s">
        <v>54</v>
      </c>
      <c r="K95" t="s">
        <v>38</v>
      </c>
      <c r="L95">
        <v>1</v>
      </c>
      <c r="M95">
        <v>3</v>
      </c>
      <c r="N95">
        <v>1</v>
      </c>
      <c r="O95" t="s">
        <v>152</v>
      </c>
      <c r="S95" t="s">
        <v>56</v>
      </c>
      <c r="T95">
        <v>1</v>
      </c>
      <c r="V95">
        <v>1</v>
      </c>
      <c r="W95" t="s">
        <v>57</v>
      </c>
      <c r="X95" t="s">
        <v>122</v>
      </c>
      <c r="AA95" t="s">
        <v>45</v>
      </c>
      <c r="AB95">
        <v>3</v>
      </c>
      <c r="AD95">
        <v>1</v>
      </c>
      <c r="AE95" t="s">
        <v>47</v>
      </c>
      <c r="AF95" t="s">
        <v>76</v>
      </c>
      <c r="AI95">
        <v>8</v>
      </c>
      <c r="AJ95">
        <v>31</v>
      </c>
    </row>
    <row r="96" spans="1:36" x14ac:dyDescent="0.4">
      <c r="A96" t="s">
        <v>275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1</v>
      </c>
      <c r="AC96">
        <v>1</v>
      </c>
      <c r="AD96">
        <v>1</v>
      </c>
      <c r="AE96" t="s">
        <v>152</v>
      </c>
      <c r="AI96">
        <v>3</v>
      </c>
      <c r="AJ96">
        <v>31</v>
      </c>
    </row>
    <row r="97" spans="1:36" x14ac:dyDescent="0.4">
      <c r="A97" t="s">
        <v>276</v>
      </c>
      <c r="B97">
        <v>95</v>
      </c>
      <c r="C97" t="s">
        <v>53</v>
      </c>
      <c r="D97">
        <v>2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3</v>
      </c>
      <c r="N97">
        <v>2</v>
      </c>
      <c r="O97" t="s">
        <v>152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2</v>
      </c>
      <c r="AD97">
        <v>1</v>
      </c>
      <c r="AE97" t="s">
        <v>65</v>
      </c>
      <c r="AF97" t="s">
        <v>35</v>
      </c>
      <c r="AG97" t="s">
        <v>131</v>
      </c>
      <c r="AI97">
        <v>8</v>
      </c>
      <c r="AJ97">
        <v>32</v>
      </c>
    </row>
    <row r="98" spans="1:36" x14ac:dyDescent="0.4">
      <c r="A98" t="s">
        <v>277</v>
      </c>
      <c r="B98">
        <v>96</v>
      </c>
      <c r="C98" t="s">
        <v>48</v>
      </c>
      <c r="D98">
        <v>2</v>
      </c>
      <c r="F98">
        <v>1</v>
      </c>
      <c r="G98" t="s">
        <v>49</v>
      </c>
      <c r="H98" t="s">
        <v>50</v>
      </c>
      <c r="K98" t="s">
        <v>43</v>
      </c>
      <c r="L98">
        <v>2</v>
      </c>
      <c r="N98">
        <v>1</v>
      </c>
      <c r="O98" t="s">
        <v>135</v>
      </c>
      <c r="P98" t="s">
        <v>99</v>
      </c>
      <c r="Q98" t="s">
        <v>137</v>
      </c>
      <c r="S98" t="s">
        <v>53</v>
      </c>
      <c r="T98">
        <v>1</v>
      </c>
      <c r="U98">
        <v>1</v>
      </c>
      <c r="V98">
        <v>1</v>
      </c>
      <c r="W98" t="s">
        <v>54</v>
      </c>
      <c r="X98" t="s">
        <v>113</v>
      </c>
      <c r="AA98" t="s">
        <v>38</v>
      </c>
      <c r="AB98">
        <v>1</v>
      </c>
      <c r="AC98">
        <v>3</v>
      </c>
      <c r="AD98">
        <v>2</v>
      </c>
      <c r="AE98" t="s">
        <v>67</v>
      </c>
      <c r="AI98">
        <v>9</v>
      </c>
      <c r="AJ98">
        <v>52</v>
      </c>
    </row>
    <row r="99" spans="1:36" x14ac:dyDescent="0.4">
      <c r="A99" t="s">
        <v>278</v>
      </c>
      <c r="B99">
        <v>97</v>
      </c>
      <c r="C99" t="s">
        <v>53</v>
      </c>
      <c r="D99">
        <v>3</v>
      </c>
      <c r="E99">
        <v>1</v>
      </c>
      <c r="F99">
        <v>1</v>
      </c>
      <c r="G99" t="s">
        <v>54</v>
      </c>
      <c r="K99" t="s">
        <v>38</v>
      </c>
      <c r="L99">
        <v>1</v>
      </c>
      <c r="M99">
        <v>1</v>
      </c>
      <c r="N99">
        <v>1</v>
      </c>
      <c r="O99" t="s">
        <v>152</v>
      </c>
      <c r="P99" t="s">
        <v>70</v>
      </c>
      <c r="S99" t="s">
        <v>48</v>
      </c>
      <c r="T99">
        <v>2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86</v>
      </c>
      <c r="AI99">
        <v>5</v>
      </c>
      <c r="AJ99">
        <v>29</v>
      </c>
    </row>
    <row r="100" spans="1:36" x14ac:dyDescent="0.4">
      <c r="A100" s="4" t="s">
        <v>279</v>
      </c>
      <c r="B100">
        <v>98</v>
      </c>
      <c r="C100" t="s">
        <v>48</v>
      </c>
      <c r="D100">
        <v>3</v>
      </c>
      <c r="F100">
        <v>3</v>
      </c>
      <c r="G100" t="s">
        <v>49</v>
      </c>
      <c r="H100" t="s">
        <v>84</v>
      </c>
      <c r="I100" t="s">
        <v>51</v>
      </c>
      <c r="K100" t="s">
        <v>63</v>
      </c>
      <c r="L100">
        <v>2</v>
      </c>
      <c r="N100">
        <v>1</v>
      </c>
      <c r="O100" t="s">
        <v>103</v>
      </c>
      <c r="S100" t="s">
        <v>53</v>
      </c>
      <c r="T100">
        <v>1</v>
      </c>
      <c r="U100">
        <v>1</v>
      </c>
      <c r="V100">
        <v>1</v>
      </c>
      <c r="W100" t="s">
        <v>54</v>
      </c>
      <c r="X100" t="s">
        <v>113</v>
      </c>
      <c r="AA100" t="s">
        <v>38</v>
      </c>
      <c r="AB100">
        <v>3</v>
      </c>
      <c r="AC100">
        <v>1</v>
      </c>
      <c r="AD100">
        <v>2</v>
      </c>
      <c r="AE100" t="s">
        <v>152</v>
      </c>
      <c r="AF100" t="s">
        <v>96</v>
      </c>
      <c r="AG100" t="s">
        <v>41</v>
      </c>
      <c r="AH100" t="s">
        <v>156</v>
      </c>
      <c r="AI100">
        <v>14</v>
      </c>
      <c r="AJ100">
        <v>58</v>
      </c>
    </row>
    <row r="101" spans="1:36" x14ac:dyDescent="0.4">
      <c r="A101" t="s">
        <v>280</v>
      </c>
      <c r="B101">
        <v>99</v>
      </c>
      <c r="C101" t="s">
        <v>53</v>
      </c>
      <c r="D101">
        <v>3</v>
      </c>
      <c r="E101">
        <v>1</v>
      </c>
      <c r="F101">
        <v>1</v>
      </c>
      <c r="G101" t="s">
        <v>54</v>
      </c>
      <c r="K101" t="s">
        <v>38</v>
      </c>
      <c r="L101">
        <v>1</v>
      </c>
      <c r="M101">
        <v>3</v>
      </c>
      <c r="N101">
        <v>1</v>
      </c>
      <c r="O101" t="s">
        <v>67</v>
      </c>
      <c r="S101" t="s">
        <v>33</v>
      </c>
      <c r="T101">
        <v>2</v>
      </c>
      <c r="V101">
        <v>3</v>
      </c>
      <c r="W101" t="s">
        <v>46</v>
      </c>
      <c r="AA101" t="s">
        <v>43</v>
      </c>
      <c r="AB101">
        <v>1</v>
      </c>
      <c r="AD101">
        <v>1</v>
      </c>
      <c r="AE101" t="s">
        <v>135</v>
      </c>
      <c r="AF101" t="s">
        <v>74</v>
      </c>
      <c r="AI101">
        <v>8</v>
      </c>
      <c r="AJ101">
        <v>27</v>
      </c>
    </row>
    <row r="102" spans="1:36" x14ac:dyDescent="0.4">
      <c r="A102" t="s">
        <v>281</v>
      </c>
      <c r="B102">
        <v>100</v>
      </c>
      <c r="C102" t="s">
        <v>53</v>
      </c>
      <c r="D102">
        <v>1</v>
      </c>
      <c r="E102">
        <v>2</v>
      </c>
      <c r="F102">
        <v>2</v>
      </c>
      <c r="G102" t="s">
        <v>54</v>
      </c>
      <c r="K102" t="s">
        <v>38</v>
      </c>
      <c r="L102">
        <v>3</v>
      </c>
      <c r="M102">
        <v>1</v>
      </c>
      <c r="N102">
        <v>1</v>
      </c>
      <c r="O102" t="s">
        <v>67</v>
      </c>
      <c r="S102" t="s">
        <v>33</v>
      </c>
      <c r="T102">
        <v>3</v>
      </c>
      <c r="V102">
        <v>2</v>
      </c>
      <c r="W102" t="s">
        <v>65</v>
      </c>
      <c r="AA102" t="s">
        <v>45</v>
      </c>
      <c r="AB102">
        <v>2</v>
      </c>
      <c r="AD102">
        <v>1</v>
      </c>
      <c r="AE102" t="s">
        <v>47</v>
      </c>
      <c r="AI102">
        <v>8</v>
      </c>
      <c r="AJ102">
        <v>26</v>
      </c>
    </row>
    <row r="103" spans="1:36" x14ac:dyDescent="0.4">
      <c r="A103" t="s">
        <v>282</v>
      </c>
      <c r="B103">
        <v>101</v>
      </c>
      <c r="C103" t="s">
        <v>33</v>
      </c>
      <c r="D103">
        <v>2</v>
      </c>
      <c r="F103">
        <v>1</v>
      </c>
      <c r="G103" t="s">
        <v>65</v>
      </c>
      <c r="K103" t="s">
        <v>63</v>
      </c>
      <c r="L103">
        <v>2</v>
      </c>
      <c r="N103">
        <v>2</v>
      </c>
      <c r="O103" t="s">
        <v>103</v>
      </c>
      <c r="P103" t="s">
        <v>95</v>
      </c>
      <c r="S103" t="s">
        <v>53</v>
      </c>
      <c r="T103">
        <v>1</v>
      </c>
      <c r="U103">
        <v>1</v>
      </c>
      <c r="V103">
        <v>1</v>
      </c>
      <c r="W103" t="s">
        <v>54</v>
      </c>
      <c r="AA103" t="s">
        <v>38</v>
      </c>
      <c r="AB103">
        <v>2</v>
      </c>
      <c r="AC103">
        <v>1</v>
      </c>
      <c r="AD103">
        <v>3</v>
      </c>
      <c r="AE103" t="s">
        <v>152</v>
      </c>
      <c r="AF103" t="s">
        <v>40</v>
      </c>
      <c r="AI103">
        <v>8</v>
      </c>
      <c r="AJ103">
        <v>32</v>
      </c>
    </row>
    <row r="104" spans="1:36" x14ac:dyDescent="0.4">
      <c r="A104" t="s">
        <v>283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54</v>
      </c>
      <c r="H104" t="s">
        <v>83</v>
      </c>
      <c r="K104" t="s">
        <v>38</v>
      </c>
      <c r="L104">
        <v>1</v>
      </c>
      <c r="M104">
        <v>1</v>
      </c>
      <c r="N104">
        <v>2</v>
      </c>
      <c r="O104" t="s">
        <v>67</v>
      </c>
      <c r="S104" t="s">
        <v>43</v>
      </c>
      <c r="T104">
        <v>1</v>
      </c>
      <c r="V104">
        <v>1</v>
      </c>
      <c r="W104" t="s">
        <v>135</v>
      </c>
      <c r="X104" t="s">
        <v>99</v>
      </c>
      <c r="AA104" t="s">
        <v>45</v>
      </c>
      <c r="AB104">
        <v>3</v>
      </c>
      <c r="AD104">
        <v>1</v>
      </c>
      <c r="AE104" t="s">
        <v>47</v>
      </c>
      <c r="AI104">
        <v>5</v>
      </c>
      <c r="AJ104">
        <v>21</v>
      </c>
    </row>
    <row r="105" spans="1:36" x14ac:dyDescent="0.4">
      <c r="A105" t="s">
        <v>284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99</v>
      </c>
      <c r="K105" t="s">
        <v>63</v>
      </c>
      <c r="L105">
        <v>2</v>
      </c>
      <c r="N105">
        <v>1</v>
      </c>
      <c r="O105" t="s">
        <v>103</v>
      </c>
      <c r="P105" t="s">
        <v>95</v>
      </c>
      <c r="S105" t="s">
        <v>53</v>
      </c>
      <c r="T105">
        <v>1</v>
      </c>
      <c r="U105">
        <v>1</v>
      </c>
      <c r="V105">
        <v>1</v>
      </c>
      <c r="W105" t="s">
        <v>54</v>
      </c>
      <c r="X105" t="s">
        <v>83</v>
      </c>
      <c r="AA105" t="s">
        <v>38</v>
      </c>
      <c r="AB105">
        <v>2</v>
      </c>
      <c r="AC105">
        <v>1</v>
      </c>
      <c r="AD105">
        <v>1</v>
      </c>
      <c r="AE105" t="s">
        <v>152</v>
      </c>
      <c r="AF105" t="s">
        <v>96</v>
      </c>
      <c r="AG105" t="s">
        <v>41</v>
      </c>
      <c r="AI105">
        <v>7</v>
      </c>
      <c r="AJ105">
        <v>46</v>
      </c>
    </row>
    <row r="106" spans="1:36" x14ac:dyDescent="0.4">
      <c r="A106" t="s">
        <v>285</v>
      </c>
      <c r="B106">
        <v>104</v>
      </c>
      <c r="C106" t="s">
        <v>45</v>
      </c>
      <c r="D106">
        <v>3</v>
      </c>
      <c r="F106">
        <v>1</v>
      </c>
      <c r="G106" t="s">
        <v>86</v>
      </c>
      <c r="K106" t="s">
        <v>63</v>
      </c>
      <c r="L106">
        <v>2</v>
      </c>
      <c r="N106">
        <v>1</v>
      </c>
      <c r="O106" t="s">
        <v>103</v>
      </c>
      <c r="S106" t="s">
        <v>53</v>
      </c>
      <c r="T106">
        <v>2</v>
      </c>
      <c r="U106">
        <v>1</v>
      </c>
      <c r="V106">
        <v>2</v>
      </c>
      <c r="W106" t="s">
        <v>54</v>
      </c>
      <c r="AA106" t="s">
        <v>38</v>
      </c>
      <c r="AB106">
        <v>1</v>
      </c>
      <c r="AC106">
        <v>1</v>
      </c>
      <c r="AD106">
        <v>1</v>
      </c>
      <c r="AE106" t="s">
        <v>152</v>
      </c>
      <c r="AI106">
        <v>5</v>
      </c>
      <c r="AJ106">
        <v>35</v>
      </c>
    </row>
    <row r="107" spans="1:36" x14ac:dyDescent="0.4">
      <c r="A107" t="s">
        <v>286</v>
      </c>
      <c r="B107">
        <v>105</v>
      </c>
      <c r="C107" t="s">
        <v>56</v>
      </c>
      <c r="D107">
        <v>1</v>
      </c>
      <c r="F107">
        <v>2</v>
      </c>
      <c r="G107" t="s">
        <v>68</v>
      </c>
      <c r="K107" t="s">
        <v>48</v>
      </c>
      <c r="L107">
        <v>1</v>
      </c>
      <c r="N107">
        <v>1</v>
      </c>
      <c r="O107" t="s">
        <v>89</v>
      </c>
      <c r="S107" t="s">
        <v>33</v>
      </c>
      <c r="T107">
        <v>2</v>
      </c>
      <c r="V107">
        <v>1</v>
      </c>
      <c r="W107" t="s">
        <v>46</v>
      </c>
      <c r="X107" t="s">
        <v>35</v>
      </c>
      <c r="AA107" t="s">
        <v>43</v>
      </c>
      <c r="AB107">
        <v>2</v>
      </c>
      <c r="AD107">
        <v>1</v>
      </c>
      <c r="AE107" t="s">
        <v>135</v>
      </c>
      <c r="AF107" t="s">
        <v>99</v>
      </c>
      <c r="AI107">
        <v>5</v>
      </c>
      <c r="AJ107">
        <v>25</v>
      </c>
    </row>
    <row r="108" spans="1:36" x14ac:dyDescent="0.4">
      <c r="A108" t="s">
        <v>287</v>
      </c>
      <c r="B108">
        <v>106</v>
      </c>
      <c r="C108" t="s">
        <v>33</v>
      </c>
      <c r="D108">
        <v>3</v>
      </c>
      <c r="F108">
        <v>1</v>
      </c>
      <c r="G108" t="s">
        <v>46</v>
      </c>
      <c r="H108" t="s">
        <v>35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2</v>
      </c>
      <c r="AD108">
        <v>3</v>
      </c>
      <c r="AE108" t="s">
        <v>89</v>
      </c>
      <c r="AI108">
        <v>7</v>
      </c>
      <c r="AJ108">
        <v>23</v>
      </c>
    </row>
    <row r="109" spans="1:36" x14ac:dyDescent="0.4">
      <c r="A109" t="s">
        <v>288</v>
      </c>
      <c r="B109">
        <v>107</v>
      </c>
      <c r="C109" t="s">
        <v>56</v>
      </c>
      <c r="D109">
        <v>1</v>
      </c>
      <c r="F109">
        <v>1</v>
      </c>
      <c r="G109" t="s">
        <v>68</v>
      </c>
      <c r="H109" t="s">
        <v>122</v>
      </c>
      <c r="I109" t="s">
        <v>85</v>
      </c>
      <c r="K109" t="s">
        <v>48</v>
      </c>
      <c r="L109">
        <v>3</v>
      </c>
      <c r="N109">
        <v>1</v>
      </c>
      <c r="O109" t="s">
        <v>89</v>
      </c>
      <c r="S109" t="s">
        <v>33</v>
      </c>
      <c r="T109">
        <v>2</v>
      </c>
      <c r="V109">
        <v>1</v>
      </c>
      <c r="W109" t="s">
        <v>46</v>
      </c>
      <c r="AA109" t="s">
        <v>63</v>
      </c>
      <c r="AB109">
        <v>2</v>
      </c>
      <c r="AD109">
        <v>1</v>
      </c>
      <c r="AE109" t="s">
        <v>103</v>
      </c>
      <c r="AI109">
        <v>6</v>
      </c>
      <c r="AJ109">
        <v>31</v>
      </c>
    </row>
    <row r="110" spans="1:36" x14ac:dyDescent="0.4">
      <c r="A110" t="s">
        <v>289</v>
      </c>
      <c r="B110">
        <v>108</v>
      </c>
      <c r="C110" t="s">
        <v>33</v>
      </c>
      <c r="D110">
        <v>3</v>
      </c>
      <c r="F110">
        <v>1</v>
      </c>
      <c r="G110" t="s">
        <v>46</v>
      </c>
      <c r="K110" t="s">
        <v>38</v>
      </c>
      <c r="L110">
        <v>2</v>
      </c>
      <c r="M110">
        <v>1</v>
      </c>
      <c r="N110">
        <v>2</v>
      </c>
      <c r="O110" t="s">
        <v>152</v>
      </c>
      <c r="S110" t="s">
        <v>56</v>
      </c>
      <c r="T110">
        <v>1</v>
      </c>
      <c r="V110">
        <v>2</v>
      </c>
      <c r="W110" t="s">
        <v>68</v>
      </c>
      <c r="AA110" t="s">
        <v>48</v>
      </c>
      <c r="AB110">
        <v>3</v>
      </c>
      <c r="AD110">
        <v>1</v>
      </c>
      <c r="AE110" t="s">
        <v>89</v>
      </c>
      <c r="AI110">
        <v>7</v>
      </c>
      <c r="AJ110">
        <v>37</v>
      </c>
    </row>
    <row r="111" spans="1:36" x14ac:dyDescent="0.4">
      <c r="A111" t="s">
        <v>290</v>
      </c>
      <c r="B111">
        <v>109</v>
      </c>
      <c r="C111" t="s">
        <v>56</v>
      </c>
      <c r="D111">
        <v>2</v>
      </c>
      <c r="F111">
        <v>1</v>
      </c>
      <c r="G111" t="s">
        <v>68</v>
      </c>
      <c r="K111" t="s">
        <v>48</v>
      </c>
      <c r="L111">
        <v>3</v>
      </c>
      <c r="N111">
        <v>1</v>
      </c>
      <c r="O111" t="s">
        <v>89</v>
      </c>
      <c r="S111" t="s">
        <v>43</v>
      </c>
      <c r="T111">
        <v>2</v>
      </c>
      <c r="V111">
        <v>3</v>
      </c>
      <c r="W111" t="s">
        <v>135</v>
      </c>
      <c r="X111" t="s">
        <v>136</v>
      </c>
      <c r="AA111" t="s">
        <v>45</v>
      </c>
      <c r="AB111">
        <v>2</v>
      </c>
      <c r="AD111">
        <v>1</v>
      </c>
      <c r="AE111" t="s">
        <v>47</v>
      </c>
      <c r="AI111">
        <v>8</v>
      </c>
      <c r="AJ111">
        <v>39</v>
      </c>
    </row>
    <row r="112" spans="1:36" x14ac:dyDescent="0.4">
      <c r="A112" t="s">
        <v>291</v>
      </c>
      <c r="B112">
        <v>110</v>
      </c>
      <c r="C112" t="s">
        <v>43</v>
      </c>
      <c r="D112">
        <v>1</v>
      </c>
      <c r="F112">
        <v>1</v>
      </c>
      <c r="G112" t="s">
        <v>135</v>
      </c>
      <c r="H112" t="s">
        <v>99</v>
      </c>
      <c r="I112" t="s">
        <v>100</v>
      </c>
      <c r="J112" t="s">
        <v>138</v>
      </c>
      <c r="K112" t="s">
        <v>63</v>
      </c>
      <c r="L112">
        <v>2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57</v>
      </c>
      <c r="AA112" t="s">
        <v>48</v>
      </c>
      <c r="AB112">
        <v>2</v>
      </c>
      <c r="AD112">
        <v>1</v>
      </c>
      <c r="AE112" t="s">
        <v>89</v>
      </c>
      <c r="AI112">
        <v>5</v>
      </c>
      <c r="AJ112">
        <v>33</v>
      </c>
    </row>
    <row r="113" spans="1:36" x14ac:dyDescent="0.4">
      <c r="A113" t="s">
        <v>292</v>
      </c>
      <c r="B113">
        <v>111</v>
      </c>
      <c r="C113" t="s">
        <v>56</v>
      </c>
      <c r="D113">
        <v>1</v>
      </c>
      <c r="F113">
        <v>1</v>
      </c>
      <c r="G113" t="s">
        <v>68</v>
      </c>
      <c r="H113" t="s">
        <v>122</v>
      </c>
      <c r="K113" t="s">
        <v>48</v>
      </c>
      <c r="L113">
        <v>2</v>
      </c>
      <c r="N113">
        <v>1</v>
      </c>
      <c r="O113" t="s">
        <v>89</v>
      </c>
      <c r="S113" t="s">
        <v>43</v>
      </c>
      <c r="T113">
        <v>1</v>
      </c>
      <c r="V113">
        <v>1</v>
      </c>
      <c r="W113" t="s">
        <v>135</v>
      </c>
      <c r="X113" t="s">
        <v>99</v>
      </c>
      <c r="AA113" t="s">
        <v>38</v>
      </c>
      <c r="AB113">
        <v>2</v>
      </c>
      <c r="AC113">
        <v>1</v>
      </c>
      <c r="AD113">
        <v>1</v>
      </c>
      <c r="AE113" t="s">
        <v>152</v>
      </c>
      <c r="AI113">
        <v>4</v>
      </c>
      <c r="AJ113">
        <v>21</v>
      </c>
    </row>
    <row r="114" spans="1:36" x14ac:dyDescent="0.4">
      <c r="A114" t="s">
        <v>293</v>
      </c>
      <c r="B114">
        <v>112</v>
      </c>
      <c r="C114" t="s">
        <v>56</v>
      </c>
      <c r="D114">
        <v>1</v>
      </c>
      <c r="F114">
        <v>1</v>
      </c>
      <c r="G114" t="s">
        <v>68</v>
      </c>
      <c r="H114" t="s">
        <v>122</v>
      </c>
      <c r="K114" t="s">
        <v>48</v>
      </c>
      <c r="L114">
        <v>2</v>
      </c>
      <c r="N114">
        <v>1</v>
      </c>
      <c r="O114" t="s">
        <v>49</v>
      </c>
      <c r="S114" t="s">
        <v>45</v>
      </c>
      <c r="T114">
        <v>2</v>
      </c>
      <c r="V114">
        <v>1</v>
      </c>
      <c r="W114" t="s">
        <v>47</v>
      </c>
      <c r="AA114" t="s">
        <v>63</v>
      </c>
      <c r="AB114">
        <v>2</v>
      </c>
      <c r="AD114">
        <v>1</v>
      </c>
      <c r="AE114" t="s">
        <v>72</v>
      </c>
      <c r="AI114">
        <v>4</v>
      </c>
      <c r="AJ114">
        <v>23</v>
      </c>
    </row>
    <row r="115" spans="1:36" x14ac:dyDescent="0.4">
      <c r="A115" t="s">
        <v>294</v>
      </c>
      <c r="B115">
        <v>113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3</v>
      </c>
      <c r="N115">
        <v>1</v>
      </c>
      <c r="O115" t="s">
        <v>89</v>
      </c>
      <c r="S115" t="s">
        <v>45</v>
      </c>
      <c r="T115">
        <v>2</v>
      </c>
      <c r="V115">
        <v>1</v>
      </c>
      <c r="W115" t="s">
        <v>86</v>
      </c>
      <c r="AA115" t="s">
        <v>38</v>
      </c>
      <c r="AB115">
        <v>3</v>
      </c>
      <c r="AC115">
        <v>1</v>
      </c>
      <c r="AD115">
        <v>1</v>
      </c>
      <c r="AE115" t="s">
        <v>152</v>
      </c>
      <c r="AI115">
        <v>5</v>
      </c>
      <c r="AJ115">
        <v>29</v>
      </c>
    </row>
    <row r="116" spans="1:36" x14ac:dyDescent="0.4">
      <c r="A116" t="s">
        <v>295</v>
      </c>
      <c r="B116">
        <v>114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K116" t="s">
        <v>48</v>
      </c>
      <c r="L116">
        <v>3</v>
      </c>
      <c r="N116">
        <v>1</v>
      </c>
      <c r="O116" t="s">
        <v>49</v>
      </c>
      <c r="P116" t="s">
        <v>50</v>
      </c>
      <c r="S116" t="s">
        <v>63</v>
      </c>
      <c r="T116">
        <v>3</v>
      </c>
      <c r="V116">
        <v>1</v>
      </c>
      <c r="W116" t="s">
        <v>72</v>
      </c>
      <c r="AA116" t="s">
        <v>38</v>
      </c>
      <c r="AB116">
        <v>3</v>
      </c>
      <c r="AC116">
        <v>1</v>
      </c>
      <c r="AD116">
        <v>1</v>
      </c>
      <c r="AE116" t="s">
        <v>152</v>
      </c>
      <c r="AI116">
        <v>8</v>
      </c>
      <c r="AJ116">
        <v>37</v>
      </c>
    </row>
    <row r="117" spans="1:36" x14ac:dyDescent="0.4">
      <c r="A117" t="s">
        <v>296</v>
      </c>
      <c r="B117">
        <v>115</v>
      </c>
      <c r="C117" t="s">
        <v>48</v>
      </c>
      <c r="D117">
        <v>1</v>
      </c>
      <c r="F117">
        <v>1</v>
      </c>
      <c r="G117" t="s">
        <v>89</v>
      </c>
      <c r="K117" t="s">
        <v>43</v>
      </c>
      <c r="L117">
        <v>2</v>
      </c>
      <c r="N117">
        <v>3</v>
      </c>
      <c r="O117" t="s">
        <v>135</v>
      </c>
      <c r="P117" t="s">
        <v>136</v>
      </c>
      <c r="S117" t="s">
        <v>56</v>
      </c>
      <c r="T117">
        <v>3</v>
      </c>
      <c r="V117">
        <v>1</v>
      </c>
      <c r="W117" t="s">
        <v>120</v>
      </c>
      <c r="X117" t="s">
        <v>69</v>
      </c>
      <c r="AA117" t="s">
        <v>33</v>
      </c>
      <c r="AB117">
        <v>3</v>
      </c>
      <c r="AD117">
        <v>1</v>
      </c>
      <c r="AE117" t="s">
        <v>65</v>
      </c>
      <c r="AI117">
        <v>9</v>
      </c>
      <c r="AJ117">
        <v>45</v>
      </c>
    </row>
    <row r="118" spans="1:36" x14ac:dyDescent="0.4">
      <c r="A118" t="s">
        <v>297</v>
      </c>
      <c r="B118">
        <v>116</v>
      </c>
      <c r="C118" t="s">
        <v>56</v>
      </c>
      <c r="D118">
        <v>2</v>
      </c>
      <c r="F118">
        <v>1</v>
      </c>
      <c r="G118" t="s">
        <v>68</v>
      </c>
      <c r="K118" t="s">
        <v>33</v>
      </c>
      <c r="L118">
        <v>1</v>
      </c>
      <c r="N118">
        <v>2</v>
      </c>
      <c r="O118" t="s">
        <v>46</v>
      </c>
      <c r="P118" t="s">
        <v>35</v>
      </c>
      <c r="S118" t="s">
        <v>48</v>
      </c>
      <c r="T118">
        <v>2</v>
      </c>
      <c r="V118">
        <v>1</v>
      </c>
      <c r="W118" t="s">
        <v>89</v>
      </c>
      <c r="AA118" t="s">
        <v>45</v>
      </c>
      <c r="AB118">
        <v>2</v>
      </c>
      <c r="AD118">
        <v>1</v>
      </c>
      <c r="AE118" t="s">
        <v>86</v>
      </c>
      <c r="AI118">
        <v>5</v>
      </c>
      <c r="AJ118">
        <v>22</v>
      </c>
    </row>
    <row r="119" spans="1:36" x14ac:dyDescent="0.4">
      <c r="A119" t="s">
        <v>298</v>
      </c>
      <c r="B119">
        <v>117</v>
      </c>
      <c r="C119" t="s">
        <v>56</v>
      </c>
      <c r="D119">
        <v>2</v>
      </c>
      <c r="F119">
        <v>1</v>
      </c>
      <c r="G119" t="s">
        <v>57</v>
      </c>
      <c r="K119" t="s">
        <v>33</v>
      </c>
      <c r="L119">
        <v>2</v>
      </c>
      <c r="N119">
        <v>1</v>
      </c>
      <c r="O119" t="s">
        <v>46</v>
      </c>
      <c r="S119" t="s">
        <v>48</v>
      </c>
      <c r="T119">
        <v>2</v>
      </c>
      <c r="V119">
        <v>1</v>
      </c>
      <c r="W119" t="s">
        <v>89</v>
      </c>
      <c r="AA119" t="s">
        <v>63</v>
      </c>
      <c r="AB119">
        <v>2</v>
      </c>
      <c r="AD119">
        <v>1</v>
      </c>
      <c r="AE119" t="s">
        <v>72</v>
      </c>
      <c r="AI119">
        <v>4</v>
      </c>
      <c r="AJ119">
        <v>21</v>
      </c>
    </row>
    <row r="120" spans="1:36" x14ac:dyDescent="0.4">
      <c r="A120" t="s">
        <v>299</v>
      </c>
      <c r="B120">
        <v>118</v>
      </c>
      <c r="C120" t="s">
        <v>56</v>
      </c>
      <c r="D120">
        <v>1</v>
      </c>
      <c r="F120">
        <v>1</v>
      </c>
      <c r="G120" t="s">
        <v>57</v>
      </c>
      <c r="K120" t="s">
        <v>33</v>
      </c>
      <c r="L120">
        <v>1</v>
      </c>
      <c r="N120">
        <v>1</v>
      </c>
      <c r="O120" t="s">
        <v>65</v>
      </c>
      <c r="P120" t="s">
        <v>35</v>
      </c>
      <c r="Q120" t="s">
        <v>131</v>
      </c>
      <c r="S120" t="s">
        <v>48</v>
      </c>
      <c r="T120">
        <v>2</v>
      </c>
      <c r="V120">
        <v>1</v>
      </c>
      <c r="W120" t="s">
        <v>89</v>
      </c>
      <c r="AA120" t="s">
        <v>38</v>
      </c>
      <c r="AB120">
        <v>1</v>
      </c>
      <c r="AC120">
        <v>3</v>
      </c>
      <c r="AD120">
        <v>1</v>
      </c>
      <c r="AE120" t="s">
        <v>152</v>
      </c>
      <c r="AI120">
        <v>5</v>
      </c>
      <c r="AJ120">
        <v>32</v>
      </c>
    </row>
    <row r="121" spans="1:36" x14ac:dyDescent="0.4">
      <c r="A121" t="s">
        <v>300</v>
      </c>
      <c r="B121">
        <v>119</v>
      </c>
      <c r="C121" t="s">
        <v>43</v>
      </c>
      <c r="D121">
        <v>1</v>
      </c>
      <c r="F121">
        <v>1</v>
      </c>
      <c r="G121" t="s">
        <v>135</v>
      </c>
      <c r="H121" t="s">
        <v>74</v>
      </c>
      <c r="K121" t="s">
        <v>45</v>
      </c>
      <c r="L121">
        <v>2</v>
      </c>
      <c r="N121">
        <v>1</v>
      </c>
      <c r="O121" t="s">
        <v>47</v>
      </c>
      <c r="S121" t="s">
        <v>56</v>
      </c>
      <c r="T121">
        <v>1</v>
      </c>
      <c r="V121">
        <v>1</v>
      </c>
      <c r="W121" t="s">
        <v>120</v>
      </c>
      <c r="AA121" t="s">
        <v>33</v>
      </c>
      <c r="AB121">
        <v>1</v>
      </c>
      <c r="AD121">
        <v>1</v>
      </c>
      <c r="AE121" t="s">
        <v>34</v>
      </c>
      <c r="AF121" t="s">
        <v>130</v>
      </c>
      <c r="AI121">
        <v>3</v>
      </c>
      <c r="AJ121">
        <v>23</v>
      </c>
    </row>
    <row r="122" spans="1:36" x14ac:dyDescent="0.4">
      <c r="A122" t="s">
        <v>301</v>
      </c>
      <c r="B122">
        <v>120</v>
      </c>
      <c r="C122" t="s">
        <v>43</v>
      </c>
      <c r="D122">
        <v>3</v>
      </c>
      <c r="F122">
        <v>1</v>
      </c>
      <c r="G122" t="s">
        <v>135</v>
      </c>
      <c r="H122" t="s">
        <v>136</v>
      </c>
      <c r="I122" t="s">
        <v>137</v>
      </c>
      <c r="K122" t="s">
        <v>63</v>
      </c>
      <c r="L122">
        <v>1</v>
      </c>
      <c r="N122">
        <v>1</v>
      </c>
      <c r="O122" t="s">
        <v>72</v>
      </c>
      <c r="P122" t="s">
        <v>146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3</v>
      </c>
      <c r="AD122">
        <v>3</v>
      </c>
      <c r="AE122" t="s">
        <v>65</v>
      </c>
      <c r="AF122" t="s">
        <v>66</v>
      </c>
      <c r="AI122">
        <v>10</v>
      </c>
      <c r="AJ122">
        <v>36</v>
      </c>
    </row>
    <row r="123" spans="1:36" x14ac:dyDescent="0.4">
      <c r="A123" t="s">
        <v>302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99</v>
      </c>
      <c r="K123" t="s">
        <v>38</v>
      </c>
      <c r="L123">
        <v>2</v>
      </c>
      <c r="M123">
        <v>1</v>
      </c>
      <c r="N123">
        <v>1</v>
      </c>
      <c r="O123" t="s">
        <v>67</v>
      </c>
      <c r="P123" t="s">
        <v>96</v>
      </c>
      <c r="S123" t="s">
        <v>56</v>
      </c>
      <c r="T123">
        <v>3</v>
      </c>
      <c r="V123">
        <v>1</v>
      </c>
      <c r="W123" t="s">
        <v>68</v>
      </c>
      <c r="AA123" t="s">
        <v>33</v>
      </c>
      <c r="AB123">
        <v>3</v>
      </c>
      <c r="AD123">
        <v>1</v>
      </c>
      <c r="AE123" t="s">
        <v>65</v>
      </c>
      <c r="AI123">
        <v>8</v>
      </c>
      <c r="AJ123">
        <v>33</v>
      </c>
    </row>
    <row r="124" spans="1:36" x14ac:dyDescent="0.4">
      <c r="A124" t="s">
        <v>303</v>
      </c>
      <c r="B124">
        <v>122</v>
      </c>
      <c r="C124" t="s">
        <v>56</v>
      </c>
      <c r="D124">
        <v>1</v>
      </c>
      <c r="F124">
        <v>2</v>
      </c>
      <c r="G124" t="s">
        <v>68</v>
      </c>
      <c r="K124" t="s">
        <v>33</v>
      </c>
      <c r="L124">
        <v>2</v>
      </c>
      <c r="N124">
        <v>1</v>
      </c>
      <c r="O124" t="s">
        <v>46</v>
      </c>
      <c r="P124" t="s">
        <v>66</v>
      </c>
      <c r="S124" t="s">
        <v>45</v>
      </c>
      <c r="T124">
        <v>3</v>
      </c>
      <c r="V124">
        <v>1</v>
      </c>
      <c r="W124" t="s">
        <v>47</v>
      </c>
      <c r="AA124" t="s">
        <v>63</v>
      </c>
      <c r="AB124">
        <v>2</v>
      </c>
      <c r="AD124">
        <v>1</v>
      </c>
      <c r="AE124" t="s">
        <v>72</v>
      </c>
      <c r="AI124">
        <v>6</v>
      </c>
      <c r="AJ124">
        <v>30</v>
      </c>
    </row>
    <row r="125" spans="1:36" x14ac:dyDescent="0.4">
      <c r="A125" t="s">
        <v>304</v>
      </c>
      <c r="B125">
        <v>123</v>
      </c>
      <c r="C125" t="s">
        <v>56</v>
      </c>
      <c r="D125">
        <v>1</v>
      </c>
      <c r="F125">
        <v>2</v>
      </c>
      <c r="G125" t="s">
        <v>68</v>
      </c>
      <c r="K125" t="s">
        <v>33</v>
      </c>
      <c r="L125">
        <v>1</v>
      </c>
      <c r="N125">
        <v>3</v>
      </c>
      <c r="O125" t="s">
        <v>46</v>
      </c>
      <c r="S125" t="s">
        <v>45</v>
      </c>
      <c r="T125">
        <v>3</v>
      </c>
      <c r="V125">
        <v>1</v>
      </c>
      <c r="W125" t="s">
        <v>47</v>
      </c>
      <c r="AA125" t="s">
        <v>38</v>
      </c>
      <c r="AB125">
        <v>1</v>
      </c>
      <c r="AC125">
        <v>1</v>
      </c>
      <c r="AD125">
        <v>1</v>
      </c>
      <c r="AE125" t="s">
        <v>152</v>
      </c>
      <c r="AF125" t="s">
        <v>96</v>
      </c>
      <c r="AG125" t="s">
        <v>153</v>
      </c>
      <c r="AI125">
        <v>7</v>
      </c>
      <c r="AJ125">
        <v>30</v>
      </c>
    </row>
    <row r="126" spans="1:36" x14ac:dyDescent="0.4">
      <c r="A126" t="s">
        <v>305</v>
      </c>
      <c r="B126">
        <v>124</v>
      </c>
      <c r="C126" t="s">
        <v>56</v>
      </c>
      <c r="D126">
        <v>1</v>
      </c>
      <c r="F126">
        <v>1</v>
      </c>
      <c r="G126" t="s">
        <v>68</v>
      </c>
      <c r="H126" t="s">
        <v>122</v>
      </c>
      <c r="K126" t="s">
        <v>33</v>
      </c>
      <c r="L126">
        <v>2</v>
      </c>
      <c r="N126">
        <v>1</v>
      </c>
      <c r="O126" t="s">
        <v>46</v>
      </c>
      <c r="P126" t="s">
        <v>66</v>
      </c>
      <c r="S126" t="s">
        <v>63</v>
      </c>
      <c r="T126">
        <v>1</v>
      </c>
      <c r="V126">
        <v>1</v>
      </c>
      <c r="W126" t="s">
        <v>72</v>
      </c>
      <c r="X126" t="s">
        <v>95</v>
      </c>
      <c r="AA126" t="s">
        <v>38</v>
      </c>
      <c r="AB126">
        <v>1</v>
      </c>
      <c r="AC126">
        <v>2</v>
      </c>
      <c r="AD126">
        <v>1</v>
      </c>
      <c r="AE126" t="s">
        <v>67</v>
      </c>
      <c r="AI126">
        <v>5</v>
      </c>
      <c r="AJ126">
        <v>27</v>
      </c>
    </row>
    <row r="127" spans="1:36" x14ac:dyDescent="0.4">
      <c r="A127" t="s">
        <v>306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1</v>
      </c>
      <c r="O127" t="s">
        <v>135</v>
      </c>
      <c r="S127" t="s">
        <v>48</v>
      </c>
      <c r="T127">
        <v>1</v>
      </c>
      <c r="V127">
        <v>1</v>
      </c>
      <c r="W127" t="s">
        <v>89</v>
      </c>
      <c r="X127" t="s">
        <v>50</v>
      </c>
      <c r="AA127" t="s">
        <v>33</v>
      </c>
      <c r="AB127">
        <v>2</v>
      </c>
      <c r="AD127">
        <v>1</v>
      </c>
      <c r="AE127" t="s">
        <v>46</v>
      </c>
      <c r="AI127">
        <v>4</v>
      </c>
      <c r="AJ127">
        <v>21</v>
      </c>
    </row>
    <row r="128" spans="1:36" x14ac:dyDescent="0.4">
      <c r="A128" t="s">
        <v>307</v>
      </c>
      <c r="B128">
        <v>126</v>
      </c>
      <c r="C128" t="s">
        <v>56</v>
      </c>
      <c r="D128">
        <v>1</v>
      </c>
      <c r="F128">
        <v>1</v>
      </c>
      <c r="G128" t="s">
        <v>68</v>
      </c>
      <c r="K128" t="s">
        <v>43</v>
      </c>
      <c r="L128">
        <v>3</v>
      </c>
      <c r="N128">
        <v>1</v>
      </c>
      <c r="O128" t="s">
        <v>135</v>
      </c>
      <c r="P128" t="s">
        <v>74</v>
      </c>
      <c r="S128" t="s">
        <v>48</v>
      </c>
      <c r="T128">
        <v>2</v>
      </c>
      <c r="V128">
        <v>1</v>
      </c>
      <c r="W128" t="s">
        <v>89</v>
      </c>
      <c r="AA128" t="s">
        <v>45</v>
      </c>
      <c r="AB128">
        <v>2</v>
      </c>
      <c r="AD128">
        <v>1</v>
      </c>
      <c r="AE128" t="s">
        <v>47</v>
      </c>
      <c r="AI128">
        <v>5</v>
      </c>
      <c r="AJ128">
        <v>23</v>
      </c>
    </row>
    <row r="129" spans="1:36" x14ac:dyDescent="0.4">
      <c r="A129" t="s">
        <v>308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3</v>
      </c>
      <c r="N129">
        <v>1</v>
      </c>
      <c r="O129" t="s">
        <v>135</v>
      </c>
      <c r="P129" t="s">
        <v>99</v>
      </c>
      <c r="S129" t="s">
        <v>48</v>
      </c>
      <c r="T129">
        <v>2</v>
      </c>
      <c r="V129">
        <v>1</v>
      </c>
      <c r="W129" t="s">
        <v>89</v>
      </c>
      <c r="AA129" t="s">
        <v>63</v>
      </c>
      <c r="AB129">
        <v>1</v>
      </c>
      <c r="AD129">
        <v>2</v>
      </c>
      <c r="AE129" t="s">
        <v>72</v>
      </c>
      <c r="AI129">
        <v>5</v>
      </c>
      <c r="AJ129">
        <v>28</v>
      </c>
    </row>
    <row r="130" spans="1:36" x14ac:dyDescent="0.4">
      <c r="A130" t="s">
        <v>309</v>
      </c>
      <c r="B130">
        <v>128</v>
      </c>
      <c r="C130" t="s">
        <v>48</v>
      </c>
      <c r="D130">
        <v>3</v>
      </c>
      <c r="F130">
        <v>1</v>
      </c>
      <c r="G130" t="s">
        <v>89</v>
      </c>
      <c r="K130" t="s">
        <v>38</v>
      </c>
      <c r="L130">
        <v>2</v>
      </c>
      <c r="M130">
        <v>1</v>
      </c>
      <c r="N130">
        <v>1</v>
      </c>
      <c r="O130" t="s">
        <v>67</v>
      </c>
      <c r="P130" t="s">
        <v>70</v>
      </c>
      <c r="Q130" t="s">
        <v>41</v>
      </c>
      <c r="S130" t="s">
        <v>56</v>
      </c>
      <c r="T130">
        <v>2</v>
      </c>
      <c r="V130">
        <v>1</v>
      </c>
      <c r="W130" t="s">
        <v>68</v>
      </c>
      <c r="AA130" t="s">
        <v>43</v>
      </c>
      <c r="AB130">
        <v>1</v>
      </c>
      <c r="AD130">
        <v>1</v>
      </c>
      <c r="AE130" t="s">
        <v>135</v>
      </c>
      <c r="AI130">
        <v>6</v>
      </c>
      <c r="AJ130">
        <v>38</v>
      </c>
    </row>
    <row r="131" spans="1:36" x14ac:dyDescent="0.4">
      <c r="A131" t="s">
        <v>310</v>
      </c>
      <c r="B131">
        <v>129</v>
      </c>
      <c r="C131" t="s">
        <v>33</v>
      </c>
      <c r="D131">
        <v>3</v>
      </c>
      <c r="F131">
        <v>1</v>
      </c>
      <c r="G131" t="s">
        <v>46</v>
      </c>
      <c r="H131" t="s">
        <v>35</v>
      </c>
      <c r="K131" t="s">
        <v>45</v>
      </c>
      <c r="L131">
        <v>2</v>
      </c>
      <c r="N131">
        <v>1</v>
      </c>
      <c r="O131" t="s">
        <v>47</v>
      </c>
      <c r="S131" t="s">
        <v>56</v>
      </c>
      <c r="T131">
        <v>1</v>
      </c>
      <c r="V131">
        <v>3</v>
      </c>
      <c r="W131" t="s">
        <v>68</v>
      </c>
      <c r="AA131" t="s">
        <v>43</v>
      </c>
      <c r="AB131">
        <v>2</v>
      </c>
      <c r="AD131">
        <v>1</v>
      </c>
      <c r="AE131" t="s">
        <v>135</v>
      </c>
      <c r="AF131" t="s">
        <v>136</v>
      </c>
      <c r="AI131">
        <v>8</v>
      </c>
      <c r="AJ131">
        <v>28</v>
      </c>
    </row>
    <row r="132" spans="1:36" x14ac:dyDescent="0.4">
      <c r="A132" t="s">
        <v>311</v>
      </c>
      <c r="B132">
        <v>130</v>
      </c>
      <c r="C132" t="s">
        <v>56</v>
      </c>
      <c r="D132">
        <v>2</v>
      </c>
      <c r="F132">
        <v>1</v>
      </c>
      <c r="G132" t="s">
        <v>68</v>
      </c>
      <c r="K132" t="s">
        <v>43</v>
      </c>
      <c r="L132">
        <v>3</v>
      </c>
      <c r="N132">
        <v>1</v>
      </c>
      <c r="O132" t="s">
        <v>135</v>
      </c>
      <c r="P132" t="s">
        <v>136</v>
      </c>
      <c r="S132" t="s">
        <v>33</v>
      </c>
      <c r="T132">
        <v>3</v>
      </c>
      <c r="V132">
        <v>1</v>
      </c>
      <c r="W132" t="s">
        <v>65</v>
      </c>
      <c r="AA132" t="s">
        <v>63</v>
      </c>
      <c r="AB132">
        <v>1</v>
      </c>
      <c r="AD132">
        <v>1</v>
      </c>
      <c r="AE132" t="s">
        <v>72</v>
      </c>
      <c r="AI132">
        <v>6</v>
      </c>
      <c r="AJ132">
        <v>23</v>
      </c>
    </row>
    <row r="133" spans="1:36" x14ac:dyDescent="0.4">
      <c r="A133" t="s">
        <v>312</v>
      </c>
      <c r="B133">
        <v>131</v>
      </c>
      <c r="C133" t="s">
        <v>33</v>
      </c>
      <c r="D133">
        <v>3</v>
      </c>
      <c r="F133">
        <v>1</v>
      </c>
      <c r="G133" t="s">
        <v>46</v>
      </c>
      <c r="H133" t="s">
        <v>35</v>
      </c>
      <c r="K133" t="s">
        <v>38</v>
      </c>
      <c r="L133">
        <v>1</v>
      </c>
      <c r="M133">
        <v>1</v>
      </c>
      <c r="N133">
        <v>1</v>
      </c>
      <c r="O133" t="s">
        <v>67</v>
      </c>
      <c r="S133" t="s">
        <v>56</v>
      </c>
      <c r="T133">
        <v>2</v>
      </c>
      <c r="V133">
        <v>2</v>
      </c>
      <c r="W133" t="s">
        <v>68</v>
      </c>
      <c r="AA133" t="s">
        <v>43</v>
      </c>
      <c r="AB133">
        <v>3</v>
      </c>
      <c r="AD133">
        <v>1</v>
      </c>
      <c r="AE133" t="s">
        <v>135</v>
      </c>
      <c r="AI133">
        <v>7</v>
      </c>
      <c r="AJ133">
        <v>28</v>
      </c>
    </row>
    <row r="134" spans="1:36" x14ac:dyDescent="0.4">
      <c r="A134" t="s">
        <v>313</v>
      </c>
      <c r="B134">
        <v>132</v>
      </c>
      <c r="C134" t="s">
        <v>56</v>
      </c>
      <c r="D134">
        <v>1</v>
      </c>
      <c r="F134">
        <v>1</v>
      </c>
      <c r="G134" t="s">
        <v>68</v>
      </c>
      <c r="K134" t="s">
        <v>43</v>
      </c>
      <c r="L134">
        <v>2</v>
      </c>
      <c r="N134">
        <v>1</v>
      </c>
      <c r="O134" t="s">
        <v>135</v>
      </c>
      <c r="P134" t="s">
        <v>74</v>
      </c>
      <c r="S134" t="s">
        <v>45</v>
      </c>
      <c r="T134">
        <v>2</v>
      </c>
      <c r="V134">
        <v>1</v>
      </c>
      <c r="W134" t="s">
        <v>86</v>
      </c>
      <c r="AA134" t="s">
        <v>63</v>
      </c>
      <c r="AB134">
        <v>1</v>
      </c>
      <c r="AD134">
        <v>1</v>
      </c>
      <c r="AE134" t="s">
        <v>72</v>
      </c>
      <c r="AI134">
        <v>3</v>
      </c>
      <c r="AJ134">
        <v>25</v>
      </c>
    </row>
    <row r="135" spans="1:36" x14ac:dyDescent="0.4">
      <c r="A135" t="s">
        <v>314</v>
      </c>
      <c r="B135">
        <v>133</v>
      </c>
      <c r="C135" t="s">
        <v>45</v>
      </c>
      <c r="D135">
        <v>3</v>
      </c>
      <c r="F135">
        <v>1</v>
      </c>
      <c r="G135" t="s">
        <v>47</v>
      </c>
      <c r="K135" t="s">
        <v>38</v>
      </c>
      <c r="L135">
        <v>2</v>
      </c>
      <c r="M135">
        <v>2</v>
      </c>
      <c r="N135">
        <v>2</v>
      </c>
      <c r="O135" t="s">
        <v>152</v>
      </c>
      <c r="P135" t="s">
        <v>70</v>
      </c>
      <c r="S135" t="s">
        <v>56</v>
      </c>
      <c r="T135">
        <v>1</v>
      </c>
      <c r="V135">
        <v>1</v>
      </c>
      <c r="W135" t="s">
        <v>68</v>
      </c>
      <c r="X135" t="s">
        <v>122</v>
      </c>
      <c r="AA135" t="s">
        <v>43</v>
      </c>
      <c r="AB135">
        <v>2</v>
      </c>
      <c r="AD135">
        <v>1</v>
      </c>
      <c r="AE135" t="s">
        <v>135</v>
      </c>
      <c r="AF135" t="s">
        <v>74</v>
      </c>
      <c r="AI135">
        <v>9</v>
      </c>
      <c r="AJ135">
        <v>34</v>
      </c>
    </row>
    <row r="136" spans="1:36" x14ac:dyDescent="0.4">
      <c r="A136" t="s">
        <v>315</v>
      </c>
      <c r="B136">
        <v>134</v>
      </c>
      <c r="C136" t="s">
        <v>63</v>
      </c>
      <c r="D136">
        <v>1</v>
      </c>
      <c r="F136">
        <v>1</v>
      </c>
      <c r="G136" t="s">
        <v>72</v>
      </c>
      <c r="H136" t="s">
        <v>146</v>
      </c>
      <c r="I136" t="s">
        <v>104</v>
      </c>
      <c r="J136" t="s">
        <v>149</v>
      </c>
      <c r="K136" t="s">
        <v>38</v>
      </c>
      <c r="L136">
        <v>1</v>
      </c>
      <c r="M136">
        <v>2</v>
      </c>
      <c r="N136">
        <v>1</v>
      </c>
      <c r="O136" t="s">
        <v>152</v>
      </c>
      <c r="P136" t="s">
        <v>70</v>
      </c>
      <c r="S136" t="s">
        <v>56</v>
      </c>
      <c r="T136">
        <v>1</v>
      </c>
      <c r="V136">
        <v>2</v>
      </c>
      <c r="W136" t="s">
        <v>68</v>
      </c>
      <c r="AA136" t="s">
        <v>43</v>
      </c>
      <c r="AB136">
        <v>1</v>
      </c>
      <c r="AD136">
        <v>1</v>
      </c>
      <c r="AE136" t="s">
        <v>135</v>
      </c>
      <c r="AF136" t="s">
        <v>99</v>
      </c>
      <c r="AI136">
        <v>7</v>
      </c>
      <c r="AJ136">
        <v>44</v>
      </c>
    </row>
    <row r="137" spans="1:36" x14ac:dyDescent="0.4">
      <c r="A137" t="s">
        <v>316</v>
      </c>
      <c r="B137">
        <v>135</v>
      </c>
      <c r="C137" t="s">
        <v>56</v>
      </c>
      <c r="D137">
        <v>1</v>
      </c>
      <c r="F137">
        <v>1</v>
      </c>
      <c r="G137" t="s">
        <v>68</v>
      </c>
      <c r="K137" t="s">
        <v>45</v>
      </c>
      <c r="L137">
        <v>2</v>
      </c>
      <c r="N137">
        <v>1</v>
      </c>
      <c r="O137" t="s">
        <v>86</v>
      </c>
      <c r="S137" t="s">
        <v>48</v>
      </c>
      <c r="T137">
        <v>1</v>
      </c>
      <c r="V137">
        <v>1</v>
      </c>
      <c r="W137" t="s">
        <v>89</v>
      </c>
      <c r="X137" t="s">
        <v>84</v>
      </c>
      <c r="AA137" t="s">
        <v>33</v>
      </c>
      <c r="AB137">
        <v>2</v>
      </c>
      <c r="AD137">
        <v>1</v>
      </c>
      <c r="AE137" t="s">
        <v>46</v>
      </c>
      <c r="AI137">
        <v>3</v>
      </c>
      <c r="AJ137">
        <v>20</v>
      </c>
    </row>
    <row r="138" spans="1:36" x14ac:dyDescent="0.4">
      <c r="A138" t="s">
        <v>317</v>
      </c>
      <c r="B138">
        <v>136</v>
      </c>
      <c r="C138" t="s">
        <v>48</v>
      </c>
      <c r="D138">
        <v>2</v>
      </c>
      <c r="F138">
        <v>1</v>
      </c>
      <c r="G138" t="s">
        <v>89</v>
      </c>
      <c r="K138" t="s">
        <v>43</v>
      </c>
      <c r="L138">
        <v>2</v>
      </c>
      <c r="N138">
        <v>1</v>
      </c>
      <c r="O138" t="s">
        <v>135</v>
      </c>
      <c r="P138" t="s">
        <v>136</v>
      </c>
      <c r="Q138" t="s">
        <v>75</v>
      </c>
      <c r="S138" t="s">
        <v>56</v>
      </c>
      <c r="T138">
        <v>1</v>
      </c>
      <c r="V138">
        <v>2</v>
      </c>
      <c r="W138" t="s">
        <v>68</v>
      </c>
      <c r="AA138" t="s">
        <v>45</v>
      </c>
      <c r="AB138">
        <v>2</v>
      </c>
      <c r="AD138">
        <v>1</v>
      </c>
      <c r="AE138" t="s">
        <v>47</v>
      </c>
      <c r="AI138">
        <v>6</v>
      </c>
      <c r="AJ138">
        <v>31</v>
      </c>
    </row>
    <row r="139" spans="1:36" x14ac:dyDescent="0.4">
      <c r="A139" t="s">
        <v>318</v>
      </c>
      <c r="B139">
        <v>137</v>
      </c>
      <c r="C139" t="s">
        <v>56</v>
      </c>
      <c r="D139">
        <v>1</v>
      </c>
      <c r="F139">
        <v>1</v>
      </c>
      <c r="G139" t="s">
        <v>57</v>
      </c>
      <c r="H139" t="s">
        <v>122</v>
      </c>
      <c r="K139" t="s">
        <v>45</v>
      </c>
      <c r="L139">
        <v>2</v>
      </c>
      <c r="N139">
        <v>1</v>
      </c>
      <c r="O139" t="s">
        <v>47</v>
      </c>
      <c r="S139" t="s">
        <v>48</v>
      </c>
      <c r="T139">
        <v>2</v>
      </c>
      <c r="V139">
        <v>1</v>
      </c>
      <c r="W139" t="s">
        <v>89</v>
      </c>
      <c r="AA139" t="s">
        <v>63</v>
      </c>
      <c r="AB139">
        <v>2</v>
      </c>
      <c r="AD139">
        <v>1</v>
      </c>
      <c r="AE139" t="s">
        <v>72</v>
      </c>
      <c r="AI139">
        <v>4</v>
      </c>
      <c r="AJ139">
        <v>24</v>
      </c>
    </row>
    <row r="140" spans="1:36" x14ac:dyDescent="0.4">
      <c r="A140" t="s">
        <v>319</v>
      </c>
      <c r="B140">
        <v>138</v>
      </c>
      <c r="C140" t="s">
        <v>56</v>
      </c>
      <c r="D140">
        <v>2</v>
      </c>
      <c r="F140">
        <v>1</v>
      </c>
      <c r="G140" t="s">
        <v>57</v>
      </c>
      <c r="H140" t="s">
        <v>122</v>
      </c>
      <c r="K140" t="s">
        <v>45</v>
      </c>
      <c r="L140">
        <v>3</v>
      </c>
      <c r="N140">
        <v>1</v>
      </c>
      <c r="O140" t="s">
        <v>86</v>
      </c>
      <c r="S140" t="s">
        <v>48</v>
      </c>
      <c r="T140">
        <v>3</v>
      </c>
      <c r="V140">
        <v>1</v>
      </c>
      <c r="W140" t="s">
        <v>89</v>
      </c>
      <c r="AA140" t="s">
        <v>38</v>
      </c>
      <c r="AB140">
        <v>2</v>
      </c>
      <c r="AC140">
        <v>2</v>
      </c>
      <c r="AD140">
        <v>2</v>
      </c>
      <c r="AE140" t="s">
        <v>152</v>
      </c>
      <c r="AI140">
        <v>9</v>
      </c>
      <c r="AJ140">
        <v>33</v>
      </c>
    </row>
    <row r="141" spans="1:36" x14ac:dyDescent="0.4">
      <c r="A141" t="s">
        <v>320</v>
      </c>
      <c r="B141">
        <v>139</v>
      </c>
      <c r="C141" t="s">
        <v>56</v>
      </c>
      <c r="D141">
        <v>2</v>
      </c>
      <c r="F141">
        <v>1</v>
      </c>
      <c r="G141" t="s">
        <v>120</v>
      </c>
      <c r="K141" t="s">
        <v>45</v>
      </c>
      <c r="L141">
        <v>2</v>
      </c>
      <c r="N141">
        <v>1</v>
      </c>
      <c r="O141" t="s">
        <v>140</v>
      </c>
      <c r="S141" t="s">
        <v>33</v>
      </c>
      <c r="T141">
        <v>2</v>
      </c>
      <c r="V141">
        <v>3</v>
      </c>
      <c r="W141" t="s">
        <v>46</v>
      </c>
      <c r="AA141" t="s">
        <v>43</v>
      </c>
      <c r="AB141">
        <v>1</v>
      </c>
      <c r="AD141">
        <v>1</v>
      </c>
      <c r="AE141" t="s">
        <v>135</v>
      </c>
      <c r="AF141" t="s">
        <v>136</v>
      </c>
      <c r="AI141">
        <v>6</v>
      </c>
      <c r="AJ141">
        <v>28</v>
      </c>
    </row>
    <row r="142" spans="1:36" x14ac:dyDescent="0.4">
      <c r="A142" t="s">
        <v>321</v>
      </c>
      <c r="B142">
        <v>140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2</v>
      </c>
      <c r="N142">
        <v>1</v>
      </c>
      <c r="O142" t="s">
        <v>47</v>
      </c>
      <c r="S142" t="s">
        <v>33</v>
      </c>
      <c r="T142">
        <v>1</v>
      </c>
      <c r="V142">
        <v>3</v>
      </c>
      <c r="W142" t="s">
        <v>46</v>
      </c>
      <c r="X142" t="s">
        <v>35</v>
      </c>
      <c r="AA142" t="s">
        <v>63</v>
      </c>
      <c r="AB142">
        <v>1</v>
      </c>
      <c r="AD142">
        <v>1</v>
      </c>
      <c r="AE142" t="s">
        <v>72</v>
      </c>
      <c r="AI142">
        <v>4</v>
      </c>
      <c r="AJ142">
        <v>26</v>
      </c>
    </row>
    <row r="143" spans="1:36" x14ac:dyDescent="0.4">
      <c r="A143" t="s">
        <v>322</v>
      </c>
      <c r="B143">
        <v>141</v>
      </c>
      <c r="C143" t="s">
        <v>33</v>
      </c>
      <c r="D143">
        <v>2</v>
      </c>
      <c r="F143">
        <v>2</v>
      </c>
      <c r="G143" t="s">
        <v>46</v>
      </c>
      <c r="K143" t="s">
        <v>38</v>
      </c>
      <c r="L143">
        <v>3</v>
      </c>
      <c r="M143">
        <v>1</v>
      </c>
      <c r="N143">
        <v>1</v>
      </c>
      <c r="O143" t="s">
        <v>67</v>
      </c>
      <c r="S143" t="s">
        <v>56</v>
      </c>
      <c r="T143">
        <v>2</v>
      </c>
      <c r="V143">
        <v>1</v>
      </c>
      <c r="W143" t="s">
        <v>68</v>
      </c>
      <c r="AA143" t="s">
        <v>45</v>
      </c>
      <c r="AB143">
        <v>2</v>
      </c>
      <c r="AD143">
        <v>1</v>
      </c>
      <c r="AE143" t="s">
        <v>47</v>
      </c>
      <c r="AI143">
        <v>6</v>
      </c>
      <c r="AJ143">
        <v>23</v>
      </c>
    </row>
    <row r="144" spans="1:36" x14ac:dyDescent="0.4">
      <c r="A144" t="s">
        <v>323</v>
      </c>
      <c r="B144">
        <v>142</v>
      </c>
      <c r="C144" t="s">
        <v>43</v>
      </c>
      <c r="D144">
        <v>2</v>
      </c>
      <c r="F144">
        <v>1</v>
      </c>
      <c r="G144" t="s">
        <v>135</v>
      </c>
      <c r="H144" t="s">
        <v>99</v>
      </c>
      <c r="K144" t="s">
        <v>63</v>
      </c>
      <c r="L144">
        <v>2</v>
      </c>
      <c r="N144">
        <v>1</v>
      </c>
      <c r="O144" t="s">
        <v>72</v>
      </c>
      <c r="S144" t="s">
        <v>56</v>
      </c>
      <c r="T144">
        <v>2</v>
      </c>
      <c r="V144">
        <v>2</v>
      </c>
      <c r="W144" t="s">
        <v>68</v>
      </c>
      <c r="AA144" t="s">
        <v>45</v>
      </c>
      <c r="AB144">
        <v>2</v>
      </c>
      <c r="AD144">
        <v>1</v>
      </c>
      <c r="AE144" t="s">
        <v>47</v>
      </c>
      <c r="AI144">
        <v>6</v>
      </c>
      <c r="AJ144">
        <v>29</v>
      </c>
    </row>
    <row r="145" spans="1:36" x14ac:dyDescent="0.4">
      <c r="A145" t="s">
        <v>324</v>
      </c>
      <c r="B145">
        <v>143</v>
      </c>
      <c r="C145" t="s">
        <v>43</v>
      </c>
      <c r="D145">
        <v>3</v>
      </c>
      <c r="F145">
        <v>1</v>
      </c>
      <c r="G145" t="s">
        <v>135</v>
      </c>
      <c r="H145" t="s">
        <v>136</v>
      </c>
      <c r="K145" t="s">
        <v>38</v>
      </c>
      <c r="L145">
        <v>3</v>
      </c>
      <c r="M145">
        <v>1</v>
      </c>
      <c r="N145">
        <v>2</v>
      </c>
      <c r="O145" t="s">
        <v>67</v>
      </c>
      <c r="S145" t="s">
        <v>56</v>
      </c>
      <c r="T145">
        <v>1</v>
      </c>
      <c r="V145">
        <v>1</v>
      </c>
      <c r="W145" t="s">
        <v>68</v>
      </c>
      <c r="AA145" t="s">
        <v>45</v>
      </c>
      <c r="AB145">
        <v>3</v>
      </c>
      <c r="AD145">
        <v>1</v>
      </c>
      <c r="AE145" t="s">
        <v>140</v>
      </c>
      <c r="AI145">
        <v>8</v>
      </c>
      <c r="AJ145">
        <v>34</v>
      </c>
    </row>
    <row r="146" spans="1:36" x14ac:dyDescent="0.4">
      <c r="A146" t="s">
        <v>325</v>
      </c>
      <c r="B146">
        <v>144</v>
      </c>
      <c r="C146" t="s">
        <v>56</v>
      </c>
      <c r="D146">
        <v>1</v>
      </c>
      <c r="F146">
        <v>1</v>
      </c>
      <c r="G146" t="s">
        <v>57</v>
      </c>
      <c r="H146" t="s">
        <v>122</v>
      </c>
      <c r="K146" t="s">
        <v>45</v>
      </c>
      <c r="L146">
        <v>2</v>
      </c>
      <c r="N146">
        <v>1</v>
      </c>
      <c r="O146" t="s">
        <v>47</v>
      </c>
      <c r="S146" t="s">
        <v>63</v>
      </c>
      <c r="T146">
        <v>1</v>
      </c>
      <c r="V146">
        <v>1</v>
      </c>
      <c r="W146" t="s">
        <v>103</v>
      </c>
      <c r="AA146" t="s">
        <v>38</v>
      </c>
      <c r="AB146">
        <v>3</v>
      </c>
      <c r="AC146">
        <v>1</v>
      </c>
      <c r="AD146">
        <v>1</v>
      </c>
      <c r="AE146" t="s">
        <v>67</v>
      </c>
      <c r="AI146">
        <v>4</v>
      </c>
      <c r="AJ146">
        <v>21</v>
      </c>
    </row>
    <row r="147" spans="1:36" x14ac:dyDescent="0.4">
      <c r="A147" t="s">
        <v>326</v>
      </c>
      <c r="B147">
        <v>145</v>
      </c>
      <c r="C147" t="s">
        <v>48</v>
      </c>
      <c r="D147">
        <v>3</v>
      </c>
      <c r="F147">
        <v>1</v>
      </c>
      <c r="G147" t="s">
        <v>49</v>
      </c>
      <c r="K147" t="s">
        <v>33</v>
      </c>
      <c r="L147">
        <v>2</v>
      </c>
      <c r="N147">
        <v>1</v>
      </c>
      <c r="O147" t="s">
        <v>46</v>
      </c>
      <c r="P147" t="s">
        <v>35</v>
      </c>
      <c r="Q147" t="s">
        <v>132</v>
      </c>
      <c r="S147" t="s">
        <v>56</v>
      </c>
      <c r="T147">
        <v>1</v>
      </c>
      <c r="V147">
        <v>2</v>
      </c>
      <c r="W147" t="s">
        <v>120</v>
      </c>
      <c r="X147" t="s">
        <v>69</v>
      </c>
      <c r="Y147" t="s">
        <v>85</v>
      </c>
      <c r="AA147" t="s">
        <v>63</v>
      </c>
      <c r="AB147">
        <v>2</v>
      </c>
      <c r="AD147">
        <v>1</v>
      </c>
      <c r="AE147" t="s">
        <v>72</v>
      </c>
      <c r="AI147">
        <v>9</v>
      </c>
      <c r="AJ147">
        <v>39</v>
      </c>
    </row>
    <row r="148" spans="1:36" x14ac:dyDescent="0.4">
      <c r="A148" t="s">
        <v>327</v>
      </c>
      <c r="B148">
        <v>146</v>
      </c>
      <c r="C148" t="s">
        <v>56</v>
      </c>
      <c r="D148">
        <v>2</v>
      </c>
      <c r="F148">
        <v>1</v>
      </c>
      <c r="G148" t="s">
        <v>120</v>
      </c>
      <c r="H148" t="s">
        <v>69</v>
      </c>
      <c r="K148" t="s">
        <v>63</v>
      </c>
      <c r="L148">
        <v>2</v>
      </c>
      <c r="N148">
        <v>1</v>
      </c>
      <c r="O148" t="s">
        <v>72</v>
      </c>
      <c r="S148" t="s">
        <v>48</v>
      </c>
      <c r="T148">
        <v>3</v>
      </c>
      <c r="V148">
        <v>1</v>
      </c>
      <c r="W148" t="s">
        <v>49</v>
      </c>
      <c r="AA148" t="s">
        <v>43</v>
      </c>
      <c r="AB148">
        <v>1</v>
      </c>
      <c r="AD148">
        <v>1</v>
      </c>
      <c r="AE148" t="s">
        <v>135</v>
      </c>
      <c r="AF148" t="s">
        <v>99</v>
      </c>
      <c r="AI148">
        <v>6</v>
      </c>
      <c r="AJ148">
        <v>31</v>
      </c>
    </row>
    <row r="149" spans="1:36" x14ac:dyDescent="0.4">
      <c r="A149" t="s">
        <v>328</v>
      </c>
      <c r="B149">
        <v>147</v>
      </c>
      <c r="C149" t="s">
        <v>48</v>
      </c>
      <c r="D149">
        <v>3</v>
      </c>
      <c r="F149">
        <v>1</v>
      </c>
      <c r="G149" t="s">
        <v>49</v>
      </c>
      <c r="K149" t="s">
        <v>45</v>
      </c>
      <c r="L149">
        <v>3</v>
      </c>
      <c r="N149">
        <v>1</v>
      </c>
      <c r="O149" t="s">
        <v>47</v>
      </c>
      <c r="S149" t="s">
        <v>56</v>
      </c>
      <c r="T149">
        <v>1</v>
      </c>
      <c r="V149">
        <v>2</v>
      </c>
      <c r="W149" t="s">
        <v>68</v>
      </c>
      <c r="AA149" t="s">
        <v>63</v>
      </c>
      <c r="AB149">
        <v>2</v>
      </c>
      <c r="AD149">
        <v>1</v>
      </c>
      <c r="AE149" t="s">
        <v>72</v>
      </c>
      <c r="AI149">
        <v>6</v>
      </c>
      <c r="AJ149">
        <v>27</v>
      </c>
    </row>
    <row r="150" spans="1:36" x14ac:dyDescent="0.4">
      <c r="A150" t="s">
        <v>329</v>
      </c>
      <c r="B150">
        <v>148</v>
      </c>
      <c r="C150" t="s">
        <v>56</v>
      </c>
      <c r="D150">
        <v>1</v>
      </c>
      <c r="F150">
        <v>1</v>
      </c>
      <c r="G150" t="s">
        <v>57</v>
      </c>
      <c r="K150" t="s">
        <v>63</v>
      </c>
      <c r="L150">
        <v>2</v>
      </c>
      <c r="N150">
        <v>1</v>
      </c>
      <c r="O150" t="s">
        <v>72</v>
      </c>
      <c r="S150" t="s">
        <v>48</v>
      </c>
      <c r="T150">
        <v>2</v>
      </c>
      <c r="V150">
        <v>1</v>
      </c>
      <c r="W150" t="s">
        <v>49</v>
      </c>
      <c r="AA150" t="s">
        <v>38</v>
      </c>
      <c r="AB150">
        <v>2</v>
      </c>
      <c r="AC150">
        <v>1</v>
      </c>
      <c r="AD150">
        <v>1</v>
      </c>
      <c r="AE150" t="s">
        <v>152</v>
      </c>
      <c r="AI150">
        <v>3</v>
      </c>
      <c r="AJ150">
        <v>25</v>
      </c>
    </row>
    <row r="151" spans="1:36" x14ac:dyDescent="0.4">
      <c r="A151" t="s">
        <v>330</v>
      </c>
      <c r="B151">
        <v>149</v>
      </c>
      <c r="C151" t="s">
        <v>33</v>
      </c>
      <c r="D151">
        <v>2</v>
      </c>
      <c r="F151">
        <v>2</v>
      </c>
      <c r="G151" t="s">
        <v>46</v>
      </c>
      <c r="K151" t="s">
        <v>43</v>
      </c>
      <c r="L151">
        <v>2</v>
      </c>
      <c r="N151">
        <v>1</v>
      </c>
      <c r="O151" t="s">
        <v>135</v>
      </c>
      <c r="P151" t="s">
        <v>136</v>
      </c>
      <c r="Q151" t="s">
        <v>75</v>
      </c>
      <c r="S151" t="s">
        <v>56</v>
      </c>
      <c r="T151">
        <v>1</v>
      </c>
      <c r="V151">
        <v>1</v>
      </c>
      <c r="W151" t="s">
        <v>120</v>
      </c>
      <c r="AA151" t="s">
        <v>63</v>
      </c>
      <c r="AB151">
        <v>1</v>
      </c>
      <c r="AD151">
        <v>1</v>
      </c>
      <c r="AE151" t="s">
        <v>72</v>
      </c>
      <c r="AI151">
        <v>5</v>
      </c>
      <c r="AJ151">
        <v>34</v>
      </c>
    </row>
    <row r="152" spans="1:36" x14ac:dyDescent="0.4">
      <c r="A152" t="s">
        <v>331</v>
      </c>
      <c r="B152">
        <v>150</v>
      </c>
      <c r="C152" t="s">
        <v>33</v>
      </c>
      <c r="D152">
        <v>2</v>
      </c>
      <c r="F152">
        <v>1</v>
      </c>
      <c r="G152" t="s">
        <v>46</v>
      </c>
      <c r="H152" t="s">
        <v>66</v>
      </c>
      <c r="K152" t="s">
        <v>45</v>
      </c>
      <c r="L152">
        <v>3</v>
      </c>
      <c r="N152">
        <v>1</v>
      </c>
      <c r="O152" t="s">
        <v>86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F152" t="s">
        <v>146</v>
      </c>
      <c r="AI152">
        <v>5</v>
      </c>
      <c r="AJ152">
        <v>27</v>
      </c>
    </row>
    <row r="153" spans="1:36" x14ac:dyDescent="0.4">
      <c r="A153" t="s">
        <v>332</v>
      </c>
      <c r="B153">
        <v>151</v>
      </c>
      <c r="C153" t="s">
        <v>56</v>
      </c>
      <c r="D153">
        <v>1</v>
      </c>
      <c r="F153">
        <v>1</v>
      </c>
      <c r="G153" t="s">
        <v>68</v>
      </c>
      <c r="K153" t="s">
        <v>63</v>
      </c>
      <c r="L153">
        <v>1</v>
      </c>
      <c r="N153">
        <v>1</v>
      </c>
      <c r="O153" t="s">
        <v>72</v>
      </c>
      <c r="S153" t="s">
        <v>33</v>
      </c>
      <c r="T153">
        <v>2</v>
      </c>
      <c r="V153">
        <v>1</v>
      </c>
      <c r="W153" t="s">
        <v>46</v>
      </c>
      <c r="AA153" t="s">
        <v>38</v>
      </c>
      <c r="AB153">
        <v>2</v>
      </c>
      <c r="AC153">
        <v>1</v>
      </c>
      <c r="AD153">
        <v>1</v>
      </c>
      <c r="AE153" t="s">
        <v>152</v>
      </c>
      <c r="AI153">
        <v>2</v>
      </c>
      <c r="AJ153">
        <v>23</v>
      </c>
    </row>
    <row r="154" spans="1:36" x14ac:dyDescent="0.4">
      <c r="A154" t="s">
        <v>333</v>
      </c>
      <c r="B154">
        <v>152</v>
      </c>
      <c r="C154" t="s">
        <v>43</v>
      </c>
      <c r="D154">
        <v>1</v>
      </c>
      <c r="F154">
        <v>1</v>
      </c>
      <c r="G154" t="s">
        <v>135</v>
      </c>
      <c r="H154" t="s">
        <v>99</v>
      </c>
      <c r="K154" t="s">
        <v>45</v>
      </c>
      <c r="L154">
        <v>3</v>
      </c>
      <c r="N154">
        <v>1</v>
      </c>
      <c r="O154" t="s">
        <v>47</v>
      </c>
      <c r="S154" t="s">
        <v>56</v>
      </c>
      <c r="T154">
        <v>1</v>
      </c>
      <c r="V154">
        <v>2</v>
      </c>
      <c r="W154" t="s">
        <v>68</v>
      </c>
      <c r="AA154" t="s">
        <v>63</v>
      </c>
      <c r="AB154">
        <v>1</v>
      </c>
      <c r="AD154">
        <v>1</v>
      </c>
      <c r="AE154" t="s">
        <v>72</v>
      </c>
      <c r="AI154">
        <v>4</v>
      </c>
      <c r="AJ154">
        <v>28</v>
      </c>
    </row>
    <row r="155" spans="1:36" x14ac:dyDescent="0.4">
      <c r="A155" t="s">
        <v>334</v>
      </c>
      <c r="B155">
        <v>153</v>
      </c>
      <c r="C155" t="s">
        <v>56</v>
      </c>
      <c r="D155">
        <v>1</v>
      </c>
      <c r="F155">
        <v>1</v>
      </c>
      <c r="G155" t="s">
        <v>68</v>
      </c>
      <c r="K155" t="s">
        <v>63</v>
      </c>
      <c r="L155">
        <v>3</v>
      </c>
      <c r="N155">
        <v>1</v>
      </c>
      <c r="O155" t="s">
        <v>72</v>
      </c>
      <c r="S155" t="s">
        <v>43</v>
      </c>
      <c r="T155">
        <v>2</v>
      </c>
      <c r="V155">
        <v>1</v>
      </c>
      <c r="W155" t="s">
        <v>135</v>
      </c>
      <c r="X155" t="s">
        <v>99</v>
      </c>
      <c r="AA155" t="s">
        <v>38</v>
      </c>
      <c r="AB155">
        <v>1</v>
      </c>
      <c r="AC155">
        <v>1</v>
      </c>
      <c r="AD155">
        <v>1</v>
      </c>
      <c r="AE155" t="s">
        <v>152</v>
      </c>
      <c r="AI155">
        <v>4</v>
      </c>
      <c r="AJ155">
        <v>41</v>
      </c>
    </row>
    <row r="156" spans="1:36" x14ac:dyDescent="0.4">
      <c r="A156" t="s">
        <v>335</v>
      </c>
      <c r="B156">
        <v>154</v>
      </c>
      <c r="C156" t="s">
        <v>45</v>
      </c>
      <c r="D156">
        <v>2</v>
      </c>
      <c r="F156">
        <v>1</v>
      </c>
      <c r="G156" t="s">
        <v>140</v>
      </c>
      <c r="K156" t="s">
        <v>38</v>
      </c>
      <c r="L156">
        <v>3</v>
      </c>
      <c r="M156">
        <v>1</v>
      </c>
      <c r="N156">
        <v>1</v>
      </c>
      <c r="O156" t="s">
        <v>152</v>
      </c>
      <c r="P156" t="s">
        <v>70</v>
      </c>
      <c r="S156" t="s">
        <v>56</v>
      </c>
      <c r="T156">
        <v>1</v>
      </c>
      <c r="V156">
        <v>3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I156">
        <v>6</v>
      </c>
      <c r="AJ156">
        <v>32</v>
      </c>
    </row>
    <row r="157" spans="1:36" x14ac:dyDescent="0.4">
      <c r="A157" t="s">
        <v>336</v>
      </c>
      <c r="B157">
        <v>155</v>
      </c>
      <c r="C157" t="s">
        <v>56</v>
      </c>
      <c r="D157">
        <v>2</v>
      </c>
      <c r="F157">
        <v>2</v>
      </c>
      <c r="G157" t="s">
        <v>120</v>
      </c>
      <c r="K157" t="s">
        <v>38</v>
      </c>
      <c r="L157">
        <v>1</v>
      </c>
      <c r="M157">
        <v>1</v>
      </c>
      <c r="N157">
        <v>1</v>
      </c>
      <c r="O157" t="s">
        <v>67</v>
      </c>
      <c r="P157" t="s">
        <v>70</v>
      </c>
      <c r="S157" t="s">
        <v>48</v>
      </c>
      <c r="T157">
        <v>3</v>
      </c>
      <c r="V157">
        <v>1</v>
      </c>
      <c r="W157" t="s">
        <v>49</v>
      </c>
      <c r="AA157" t="s">
        <v>33</v>
      </c>
      <c r="AB157">
        <v>3</v>
      </c>
      <c r="AD157">
        <v>2</v>
      </c>
      <c r="AE157" t="s">
        <v>46</v>
      </c>
      <c r="AI157">
        <v>8</v>
      </c>
      <c r="AJ157">
        <v>34</v>
      </c>
    </row>
    <row r="158" spans="1:36" x14ac:dyDescent="0.4">
      <c r="A158" t="s">
        <v>337</v>
      </c>
      <c r="B158">
        <v>156</v>
      </c>
      <c r="C158" t="s">
        <v>56</v>
      </c>
      <c r="D158">
        <v>1</v>
      </c>
      <c r="F158">
        <v>1</v>
      </c>
      <c r="G158" t="s">
        <v>120</v>
      </c>
      <c r="K158" t="s">
        <v>38</v>
      </c>
      <c r="L158">
        <v>1</v>
      </c>
      <c r="M158">
        <v>3</v>
      </c>
      <c r="N158">
        <v>1</v>
      </c>
      <c r="O158" t="s">
        <v>67</v>
      </c>
      <c r="S158" t="s">
        <v>48</v>
      </c>
      <c r="T158">
        <v>3</v>
      </c>
      <c r="V158">
        <v>1</v>
      </c>
      <c r="W158" t="s">
        <v>49</v>
      </c>
      <c r="AA158" t="s">
        <v>43</v>
      </c>
      <c r="AB158">
        <v>2</v>
      </c>
      <c r="AD158">
        <v>1</v>
      </c>
      <c r="AE158" t="s">
        <v>135</v>
      </c>
      <c r="AF158" t="s">
        <v>74</v>
      </c>
      <c r="AI158">
        <v>6</v>
      </c>
      <c r="AJ158">
        <v>30</v>
      </c>
    </row>
    <row r="159" spans="1:36" x14ac:dyDescent="0.4">
      <c r="A159" t="s">
        <v>338</v>
      </c>
      <c r="B159">
        <v>157</v>
      </c>
      <c r="C159" t="s">
        <v>48</v>
      </c>
      <c r="D159">
        <v>1</v>
      </c>
      <c r="F159">
        <v>1</v>
      </c>
      <c r="G159" t="s">
        <v>49</v>
      </c>
      <c r="H159" t="s">
        <v>84</v>
      </c>
      <c r="K159" t="s">
        <v>45</v>
      </c>
      <c r="L159">
        <v>3</v>
      </c>
      <c r="N159">
        <v>1</v>
      </c>
      <c r="O159" t="s">
        <v>47</v>
      </c>
      <c r="S159" t="s">
        <v>56</v>
      </c>
      <c r="T159">
        <v>1</v>
      </c>
      <c r="V159">
        <v>1</v>
      </c>
      <c r="W159" t="s">
        <v>57</v>
      </c>
      <c r="AA159" t="s">
        <v>38</v>
      </c>
      <c r="AB159">
        <v>2</v>
      </c>
      <c r="AC159">
        <v>1</v>
      </c>
      <c r="AD159">
        <v>1</v>
      </c>
      <c r="AE159" t="s">
        <v>67</v>
      </c>
      <c r="AI159">
        <v>4</v>
      </c>
      <c r="AJ159">
        <v>27</v>
      </c>
    </row>
    <row r="160" spans="1:36" x14ac:dyDescent="0.4">
      <c r="A160" t="s">
        <v>339</v>
      </c>
      <c r="B160">
        <v>158</v>
      </c>
      <c r="C160" t="s">
        <v>48</v>
      </c>
      <c r="D160">
        <v>2</v>
      </c>
      <c r="F160">
        <v>1</v>
      </c>
      <c r="G160" t="s">
        <v>49</v>
      </c>
      <c r="K160" t="s">
        <v>63</v>
      </c>
      <c r="L160">
        <v>2</v>
      </c>
      <c r="N160">
        <v>1</v>
      </c>
      <c r="O160" t="s">
        <v>103</v>
      </c>
      <c r="S160" t="s">
        <v>56</v>
      </c>
      <c r="T160">
        <v>2</v>
      </c>
      <c r="V160">
        <v>1</v>
      </c>
      <c r="W160" t="s">
        <v>57</v>
      </c>
      <c r="X160" t="s">
        <v>122</v>
      </c>
      <c r="AA160" t="s">
        <v>38</v>
      </c>
      <c r="AB160">
        <v>2</v>
      </c>
      <c r="AC160">
        <v>1</v>
      </c>
      <c r="AD160">
        <v>1</v>
      </c>
      <c r="AE160" t="s">
        <v>152</v>
      </c>
      <c r="AF160" t="s">
        <v>96</v>
      </c>
      <c r="AI160">
        <v>6</v>
      </c>
      <c r="AJ160">
        <v>31</v>
      </c>
    </row>
    <row r="161" spans="1:36" x14ac:dyDescent="0.4">
      <c r="A161" t="s">
        <v>340</v>
      </c>
      <c r="B161">
        <v>159</v>
      </c>
      <c r="C161" t="s">
        <v>56</v>
      </c>
      <c r="D161">
        <v>1</v>
      </c>
      <c r="F161">
        <v>1</v>
      </c>
      <c r="G161" t="s">
        <v>120</v>
      </c>
      <c r="K161" t="s">
        <v>38</v>
      </c>
      <c r="L161">
        <v>1</v>
      </c>
      <c r="M161">
        <v>1</v>
      </c>
      <c r="N161">
        <v>1</v>
      </c>
      <c r="O161" t="s">
        <v>67</v>
      </c>
      <c r="P161" t="s">
        <v>70</v>
      </c>
      <c r="S161" t="s">
        <v>33</v>
      </c>
      <c r="T161">
        <v>2</v>
      </c>
      <c r="V161">
        <v>1</v>
      </c>
      <c r="W161" t="s">
        <v>46</v>
      </c>
      <c r="AA161" t="s">
        <v>43</v>
      </c>
      <c r="AB161">
        <v>1</v>
      </c>
      <c r="AD161">
        <v>1</v>
      </c>
      <c r="AE161" t="s">
        <v>135</v>
      </c>
      <c r="AF161" t="s">
        <v>99</v>
      </c>
      <c r="AI161">
        <v>3</v>
      </c>
      <c r="AJ161">
        <v>16</v>
      </c>
    </row>
    <row r="162" spans="1:36" x14ac:dyDescent="0.4">
      <c r="A162" t="s">
        <v>341</v>
      </c>
      <c r="B162">
        <v>160</v>
      </c>
      <c r="C162" t="s">
        <v>33</v>
      </c>
      <c r="D162">
        <v>1</v>
      </c>
      <c r="F162">
        <v>1</v>
      </c>
      <c r="G162" t="s">
        <v>46</v>
      </c>
      <c r="H162" t="s">
        <v>35</v>
      </c>
      <c r="K162" t="s">
        <v>45</v>
      </c>
      <c r="L162">
        <v>3</v>
      </c>
      <c r="N162">
        <v>2</v>
      </c>
      <c r="O162" t="s">
        <v>86</v>
      </c>
      <c r="P162" t="s">
        <v>141</v>
      </c>
      <c r="S162" t="s">
        <v>56</v>
      </c>
      <c r="T162">
        <v>1</v>
      </c>
      <c r="V162">
        <v>3</v>
      </c>
      <c r="W162" t="s">
        <v>68</v>
      </c>
      <c r="AA162" t="s">
        <v>38</v>
      </c>
      <c r="AB162">
        <v>1</v>
      </c>
      <c r="AC162">
        <v>2</v>
      </c>
      <c r="AD162">
        <v>1</v>
      </c>
      <c r="AE162" t="s">
        <v>67</v>
      </c>
      <c r="AI162">
        <v>8</v>
      </c>
      <c r="AJ162">
        <v>41</v>
      </c>
    </row>
    <row r="163" spans="1:36" x14ac:dyDescent="0.4">
      <c r="A163" t="s">
        <v>342</v>
      </c>
      <c r="B163">
        <v>161</v>
      </c>
      <c r="C163" t="s">
        <v>56</v>
      </c>
      <c r="D163">
        <v>3</v>
      </c>
      <c r="F163">
        <v>1</v>
      </c>
      <c r="G163" t="s">
        <v>57</v>
      </c>
      <c r="K163" t="s">
        <v>38</v>
      </c>
      <c r="L163">
        <v>1</v>
      </c>
      <c r="M163">
        <v>1</v>
      </c>
      <c r="N163">
        <v>1</v>
      </c>
      <c r="O163" t="s">
        <v>152</v>
      </c>
      <c r="P163" t="s">
        <v>70</v>
      </c>
      <c r="S163" t="s">
        <v>33</v>
      </c>
      <c r="T163">
        <v>2</v>
      </c>
      <c r="V163">
        <v>1</v>
      </c>
      <c r="W163" t="s">
        <v>46</v>
      </c>
      <c r="AA163" t="s">
        <v>63</v>
      </c>
      <c r="AB163">
        <v>3</v>
      </c>
      <c r="AD163">
        <v>1</v>
      </c>
      <c r="AE163" t="s">
        <v>103</v>
      </c>
      <c r="AI163">
        <v>6</v>
      </c>
      <c r="AJ163">
        <v>29</v>
      </c>
    </row>
    <row r="164" spans="1:36" x14ac:dyDescent="0.4">
      <c r="A164" t="s">
        <v>343</v>
      </c>
      <c r="B164">
        <v>162</v>
      </c>
      <c r="C164" t="s">
        <v>56</v>
      </c>
      <c r="D164">
        <v>1</v>
      </c>
      <c r="F164">
        <v>1</v>
      </c>
      <c r="G164" t="s">
        <v>120</v>
      </c>
      <c r="K164" t="s">
        <v>38</v>
      </c>
      <c r="L164">
        <v>1</v>
      </c>
      <c r="M164">
        <v>1</v>
      </c>
      <c r="N164">
        <v>2</v>
      </c>
      <c r="O164" t="s">
        <v>67</v>
      </c>
      <c r="P164" t="s">
        <v>70</v>
      </c>
      <c r="S164" t="s">
        <v>43</v>
      </c>
      <c r="T164">
        <v>1</v>
      </c>
      <c r="V164">
        <v>2</v>
      </c>
      <c r="W164" t="s">
        <v>135</v>
      </c>
      <c r="AA164" t="s">
        <v>45</v>
      </c>
      <c r="AB164">
        <v>2</v>
      </c>
      <c r="AD164">
        <v>1</v>
      </c>
      <c r="AE164" t="s">
        <v>47</v>
      </c>
      <c r="AI164">
        <v>4</v>
      </c>
      <c r="AJ164">
        <v>21</v>
      </c>
    </row>
    <row r="165" spans="1:36" x14ac:dyDescent="0.4">
      <c r="A165" t="s">
        <v>344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99</v>
      </c>
      <c r="I165" t="s">
        <v>100</v>
      </c>
      <c r="K165" t="s">
        <v>63</v>
      </c>
      <c r="L165">
        <v>2</v>
      </c>
      <c r="N165">
        <v>1</v>
      </c>
      <c r="O165" t="s">
        <v>72</v>
      </c>
      <c r="S165" t="s">
        <v>56</v>
      </c>
      <c r="T165">
        <v>1</v>
      </c>
      <c r="V165">
        <v>1</v>
      </c>
      <c r="W165" t="s">
        <v>120</v>
      </c>
      <c r="AA165" t="s">
        <v>38</v>
      </c>
      <c r="AB165">
        <v>1</v>
      </c>
      <c r="AC165">
        <v>2</v>
      </c>
      <c r="AD165">
        <v>1</v>
      </c>
      <c r="AE165" t="s">
        <v>152</v>
      </c>
      <c r="AI165">
        <v>4</v>
      </c>
      <c r="AJ165">
        <v>26</v>
      </c>
    </row>
    <row r="166" spans="1:36" x14ac:dyDescent="0.4">
      <c r="A166" t="s">
        <v>345</v>
      </c>
      <c r="B166">
        <v>164</v>
      </c>
      <c r="C166" t="s">
        <v>45</v>
      </c>
      <c r="D166">
        <v>1</v>
      </c>
      <c r="F166">
        <v>1</v>
      </c>
      <c r="G166" t="s">
        <v>86</v>
      </c>
      <c r="K166" t="s">
        <v>63</v>
      </c>
      <c r="L166">
        <v>2</v>
      </c>
      <c r="N166">
        <v>1</v>
      </c>
      <c r="O166" t="s">
        <v>103</v>
      </c>
      <c r="S166" t="s">
        <v>56</v>
      </c>
      <c r="T166">
        <v>1</v>
      </c>
      <c r="V166">
        <v>1</v>
      </c>
      <c r="W166" t="s">
        <v>57</v>
      </c>
      <c r="X166" t="s">
        <v>122</v>
      </c>
      <c r="AA166" t="s">
        <v>38</v>
      </c>
      <c r="AB166">
        <v>1</v>
      </c>
      <c r="AC166">
        <v>1</v>
      </c>
      <c r="AD166">
        <v>1</v>
      </c>
      <c r="AE166" t="s">
        <v>152</v>
      </c>
      <c r="AF166" t="s">
        <v>70</v>
      </c>
      <c r="AG166" t="s">
        <v>153</v>
      </c>
      <c r="AI166">
        <v>4</v>
      </c>
      <c r="AJ166">
        <v>28</v>
      </c>
    </row>
    <row r="167" spans="1:36" x14ac:dyDescent="0.4">
      <c r="A167" t="s">
        <v>346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K167" t="s">
        <v>45</v>
      </c>
      <c r="L167">
        <v>2</v>
      </c>
      <c r="N167">
        <v>1</v>
      </c>
      <c r="O167" t="s">
        <v>47</v>
      </c>
      <c r="S167" t="s">
        <v>48</v>
      </c>
      <c r="T167">
        <v>1</v>
      </c>
      <c r="V167">
        <v>1</v>
      </c>
      <c r="W167" t="s">
        <v>89</v>
      </c>
      <c r="X167" t="s">
        <v>50</v>
      </c>
      <c r="AA167" t="s">
        <v>33</v>
      </c>
      <c r="AB167">
        <v>1</v>
      </c>
      <c r="AD167">
        <v>1</v>
      </c>
      <c r="AE167" t="s">
        <v>34</v>
      </c>
      <c r="AF167" t="s">
        <v>130</v>
      </c>
      <c r="AI167">
        <v>3</v>
      </c>
      <c r="AJ167">
        <v>25</v>
      </c>
    </row>
    <row r="168" spans="1:36" x14ac:dyDescent="0.4">
      <c r="A168" t="s">
        <v>347</v>
      </c>
      <c r="B168">
        <v>166</v>
      </c>
      <c r="C168" t="s">
        <v>43</v>
      </c>
      <c r="D168">
        <v>3</v>
      </c>
      <c r="F168">
        <v>1</v>
      </c>
      <c r="G168" t="s">
        <v>135</v>
      </c>
      <c r="H168" t="s">
        <v>74</v>
      </c>
      <c r="K168" t="s">
        <v>63</v>
      </c>
      <c r="L168">
        <v>2</v>
      </c>
      <c r="N168">
        <v>1</v>
      </c>
      <c r="O168" t="s">
        <v>72</v>
      </c>
      <c r="S168" t="s">
        <v>48</v>
      </c>
      <c r="T168">
        <v>3</v>
      </c>
      <c r="V168">
        <v>1</v>
      </c>
      <c r="W168" t="s">
        <v>89</v>
      </c>
      <c r="AA168" t="s">
        <v>33</v>
      </c>
      <c r="AB168">
        <v>2</v>
      </c>
      <c r="AD168">
        <v>1</v>
      </c>
      <c r="AE168" t="s">
        <v>65</v>
      </c>
      <c r="AI168">
        <v>7</v>
      </c>
      <c r="AJ168">
        <v>25</v>
      </c>
    </row>
    <row r="169" spans="1:36" x14ac:dyDescent="0.4">
      <c r="A169" t="s">
        <v>348</v>
      </c>
      <c r="B169">
        <v>167</v>
      </c>
      <c r="C169" t="s">
        <v>48</v>
      </c>
      <c r="D169">
        <v>3</v>
      </c>
      <c r="F169">
        <v>1</v>
      </c>
      <c r="G169" t="s">
        <v>89</v>
      </c>
      <c r="K169" t="s">
        <v>33</v>
      </c>
      <c r="L169">
        <v>1</v>
      </c>
      <c r="N169">
        <v>1</v>
      </c>
      <c r="O169" t="s">
        <v>65</v>
      </c>
      <c r="S169" t="s">
        <v>43</v>
      </c>
      <c r="T169">
        <v>1</v>
      </c>
      <c r="V169">
        <v>1</v>
      </c>
      <c r="W169" t="s">
        <v>135</v>
      </c>
      <c r="X169" t="s">
        <v>136</v>
      </c>
      <c r="AA169" t="s">
        <v>38</v>
      </c>
      <c r="AB169">
        <v>1</v>
      </c>
      <c r="AC169">
        <v>1</v>
      </c>
      <c r="AD169">
        <v>1</v>
      </c>
      <c r="AE169" t="s">
        <v>67</v>
      </c>
      <c r="AF169" t="s">
        <v>70</v>
      </c>
      <c r="AG169" t="s">
        <v>154</v>
      </c>
      <c r="AI169">
        <v>5</v>
      </c>
      <c r="AJ169">
        <v>28</v>
      </c>
    </row>
    <row r="170" spans="1:36" x14ac:dyDescent="0.4">
      <c r="A170" t="s">
        <v>349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1</v>
      </c>
      <c r="N170">
        <v>1</v>
      </c>
      <c r="O170" t="s">
        <v>72</v>
      </c>
      <c r="S170" t="s">
        <v>48</v>
      </c>
      <c r="T170">
        <v>2</v>
      </c>
      <c r="V170">
        <v>1</v>
      </c>
      <c r="W170" t="s">
        <v>89</v>
      </c>
      <c r="AA170" t="s">
        <v>33</v>
      </c>
      <c r="AB170">
        <v>1</v>
      </c>
      <c r="AD170">
        <v>1</v>
      </c>
      <c r="AE170" t="s">
        <v>46</v>
      </c>
      <c r="AF170" t="s">
        <v>66</v>
      </c>
      <c r="AI170">
        <v>4</v>
      </c>
      <c r="AJ170">
        <v>21</v>
      </c>
    </row>
    <row r="171" spans="1:36" x14ac:dyDescent="0.4">
      <c r="A171" t="s">
        <v>350</v>
      </c>
      <c r="B171">
        <v>169</v>
      </c>
      <c r="C171" t="s">
        <v>45</v>
      </c>
      <c r="D171">
        <v>2</v>
      </c>
      <c r="F171">
        <v>1</v>
      </c>
      <c r="G171" t="s">
        <v>47</v>
      </c>
      <c r="K171" t="s">
        <v>38</v>
      </c>
      <c r="L171">
        <v>2</v>
      </c>
      <c r="M171">
        <v>1</v>
      </c>
      <c r="N171">
        <v>1</v>
      </c>
      <c r="O171" t="s">
        <v>152</v>
      </c>
      <c r="S171" t="s">
        <v>48</v>
      </c>
      <c r="T171">
        <v>2</v>
      </c>
      <c r="V171">
        <v>1</v>
      </c>
      <c r="W171" t="s">
        <v>89</v>
      </c>
      <c r="AA171" t="s">
        <v>33</v>
      </c>
      <c r="AB171">
        <v>1</v>
      </c>
      <c r="AD171">
        <v>1</v>
      </c>
      <c r="AE171" t="s">
        <v>46</v>
      </c>
      <c r="AI171">
        <v>3</v>
      </c>
      <c r="AJ171">
        <v>24</v>
      </c>
    </row>
    <row r="172" spans="1:36" x14ac:dyDescent="0.4">
      <c r="A172" t="s">
        <v>351</v>
      </c>
      <c r="B172">
        <v>170</v>
      </c>
      <c r="C172" t="s">
        <v>48</v>
      </c>
      <c r="D172">
        <v>3</v>
      </c>
      <c r="F172">
        <v>1</v>
      </c>
      <c r="G172" t="s">
        <v>49</v>
      </c>
      <c r="K172" t="s">
        <v>33</v>
      </c>
      <c r="L172">
        <v>1</v>
      </c>
      <c r="N172">
        <v>2</v>
      </c>
      <c r="O172" t="s">
        <v>46</v>
      </c>
      <c r="S172" t="s">
        <v>63</v>
      </c>
      <c r="T172">
        <v>2</v>
      </c>
      <c r="V172">
        <v>1</v>
      </c>
      <c r="W172" t="s">
        <v>72</v>
      </c>
      <c r="AA172" t="s">
        <v>38</v>
      </c>
      <c r="AB172">
        <v>1</v>
      </c>
      <c r="AC172">
        <v>3</v>
      </c>
      <c r="AD172">
        <v>1</v>
      </c>
      <c r="AE172" t="s">
        <v>67</v>
      </c>
      <c r="AI172">
        <v>6</v>
      </c>
      <c r="AJ172">
        <v>28</v>
      </c>
    </row>
    <row r="173" spans="1:36" x14ac:dyDescent="0.4">
      <c r="A173" t="s">
        <v>352</v>
      </c>
      <c r="B173">
        <v>171</v>
      </c>
      <c r="C173" t="s">
        <v>48</v>
      </c>
      <c r="D173">
        <v>2</v>
      </c>
      <c r="F173">
        <v>2</v>
      </c>
      <c r="G173" t="s">
        <v>89</v>
      </c>
      <c r="K173" t="s">
        <v>43</v>
      </c>
      <c r="L173">
        <v>2</v>
      </c>
      <c r="N173">
        <v>2</v>
      </c>
      <c r="O173" t="s">
        <v>135</v>
      </c>
      <c r="P173" t="s">
        <v>136</v>
      </c>
      <c r="S173" t="s">
        <v>33</v>
      </c>
      <c r="T173">
        <v>3</v>
      </c>
      <c r="V173">
        <v>1</v>
      </c>
      <c r="W173" t="s">
        <v>65</v>
      </c>
      <c r="X173" t="s">
        <v>130</v>
      </c>
      <c r="AA173" t="s">
        <v>45</v>
      </c>
      <c r="AB173">
        <v>2</v>
      </c>
      <c r="AD173">
        <v>1</v>
      </c>
      <c r="AE173" t="s">
        <v>47</v>
      </c>
      <c r="AI173">
        <v>9</v>
      </c>
      <c r="AJ173">
        <v>39</v>
      </c>
    </row>
    <row r="174" spans="1:36" x14ac:dyDescent="0.4">
      <c r="A174" t="s">
        <v>353</v>
      </c>
      <c r="B174">
        <v>172</v>
      </c>
      <c r="C174" t="s">
        <v>48</v>
      </c>
      <c r="D174">
        <v>3</v>
      </c>
      <c r="F174">
        <v>1</v>
      </c>
      <c r="G174" t="s">
        <v>89</v>
      </c>
      <c r="H174" t="s">
        <v>71</v>
      </c>
      <c r="K174" t="s">
        <v>43</v>
      </c>
      <c r="L174">
        <v>2</v>
      </c>
      <c r="N174">
        <v>1</v>
      </c>
      <c r="O174" t="s">
        <v>135</v>
      </c>
      <c r="P174" t="s">
        <v>136</v>
      </c>
      <c r="Q174" t="s">
        <v>137</v>
      </c>
      <c r="R174" t="s">
        <v>138</v>
      </c>
      <c r="S174" t="s">
        <v>33</v>
      </c>
      <c r="T174">
        <v>3</v>
      </c>
      <c r="V174">
        <v>1</v>
      </c>
      <c r="W174" t="s">
        <v>65</v>
      </c>
      <c r="AA174" t="s">
        <v>63</v>
      </c>
      <c r="AB174">
        <v>3</v>
      </c>
      <c r="AD174">
        <v>1</v>
      </c>
      <c r="AE174" t="s">
        <v>72</v>
      </c>
      <c r="AF174" t="s">
        <v>146</v>
      </c>
      <c r="AI174">
        <v>12</v>
      </c>
      <c r="AJ174">
        <v>51</v>
      </c>
    </row>
    <row r="175" spans="1:36" x14ac:dyDescent="0.4">
      <c r="A175" t="s">
        <v>354</v>
      </c>
      <c r="B175">
        <v>173</v>
      </c>
      <c r="C175" t="s">
        <v>48</v>
      </c>
      <c r="D175">
        <v>2</v>
      </c>
      <c r="F175">
        <v>2</v>
      </c>
      <c r="G175" t="s">
        <v>89</v>
      </c>
      <c r="K175" t="s">
        <v>43</v>
      </c>
      <c r="L175">
        <v>3</v>
      </c>
      <c r="N175">
        <v>1</v>
      </c>
      <c r="O175" t="s">
        <v>135</v>
      </c>
      <c r="P175" t="s">
        <v>99</v>
      </c>
      <c r="S175" t="s">
        <v>33</v>
      </c>
      <c r="T175">
        <v>3</v>
      </c>
      <c r="V175">
        <v>1</v>
      </c>
      <c r="W175" t="s">
        <v>65</v>
      </c>
      <c r="AA175" t="s">
        <v>38</v>
      </c>
      <c r="AB175">
        <v>3</v>
      </c>
      <c r="AC175">
        <v>1</v>
      </c>
      <c r="AD175">
        <v>1</v>
      </c>
      <c r="AE175" t="s">
        <v>67</v>
      </c>
      <c r="AF175" t="s">
        <v>96</v>
      </c>
      <c r="AI175">
        <v>10</v>
      </c>
      <c r="AJ175">
        <v>29</v>
      </c>
    </row>
    <row r="176" spans="1:36" x14ac:dyDescent="0.4">
      <c r="A176" t="s">
        <v>355</v>
      </c>
      <c r="B176">
        <v>174</v>
      </c>
      <c r="C176" t="s">
        <v>45</v>
      </c>
      <c r="D176">
        <v>3</v>
      </c>
      <c r="F176">
        <v>1</v>
      </c>
      <c r="G176" t="s">
        <v>86</v>
      </c>
      <c r="H176" t="s">
        <v>92</v>
      </c>
      <c r="K176" t="s">
        <v>63</v>
      </c>
      <c r="L176">
        <v>2</v>
      </c>
      <c r="N176">
        <v>1</v>
      </c>
      <c r="O176" t="s">
        <v>72</v>
      </c>
      <c r="P176" t="s">
        <v>146</v>
      </c>
      <c r="S176" t="s">
        <v>48</v>
      </c>
      <c r="T176">
        <v>1</v>
      </c>
      <c r="V176">
        <v>1</v>
      </c>
      <c r="W176" t="s">
        <v>49</v>
      </c>
      <c r="X176" t="s">
        <v>50</v>
      </c>
      <c r="Y176" t="s">
        <v>90</v>
      </c>
      <c r="Z176" t="s">
        <v>52</v>
      </c>
      <c r="AA176" t="s">
        <v>43</v>
      </c>
      <c r="AB176">
        <v>1</v>
      </c>
      <c r="AD176">
        <v>1</v>
      </c>
      <c r="AE176" t="s">
        <v>135</v>
      </c>
      <c r="AI176">
        <v>8</v>
      </c>
      <c r="AJ176">
        <v>50</v>
      </c>
    </row>
    <row r="177" spans="1:36" x14ac:dyDescent="0.4">
      <c r="A177" t="s">
        <v>356</v>
      </c>
      <c r="B177">
        <v>175</v>
      </c>
      <c r="C177" t="s">
        <v>45</v>
      </c>
      <c r="D177">
        <v>2</v>
      </c>
      <c r="F177">
        <v>1</v>
      </c>
      <c r="G177" t="s">
        <v>86</v>
      </c>
      <c r="K177" t="s">
        <v>38</v>
      </c>
      <c r="L177">
        <v>1</v>
      </c>
      <c r="M177">
        <v>1</v>
      </c>
      <c r="N177">
        <v>1</v>
      </c>
      <c r="O177" t="s">
        <v>67</v>
      </c>
      <c r="P177" t="s">
        <v>70</v>
      </c>
      <c r="Q177" t="s">
        <v>41</v>
      </c>
      <c r="S177" t="s">
        <v>48</v>
      </c>
      <c r="T177">
        <v>1</v>
      </c>
      <c r="V177">
        <v>1</v>
      </c>
      <c r="W177" t="s">
        <v>89</v>
      </c>
      <c r="X177" t="s">
        <v>50</v>
      </c>
      <c r="AA177" t="s">
        <v>43</v>
      </c>
      <c r="AB177">
        <v>1</v>
      </c>
      <c r="AD177">
        <v>1</v>
      </c>
      <c r="AE177" t="s">
        <v>135</v>
      </c>
      <c r="AI177">
        <v>4</v>
      </c>
      <c r="AJ177">
        <v>27</v>
      </c>
    </row>
    <row r="178" spans="1:36" x14ac:dyDescent="0.4">
      <c r="A178" t="s">
        <v>357</v>
      </c>
      <c r="B178">
        <v>176</v>
      </c>
      <c r="C178" t="s">
        <v>48</v>
      </c>
      <c r="D178">
        <v>3</v>
      </c>
      <c r="F178">
        <v>1</v>
      </c>
      <c r="G178" t="s">
        <v>49</v>
      </c>
      <c r="K178" t="s">
        <v>43</v>
      </c>
      <c r="L178">
        <v>2</v>
      </c>
      <c r="N178">
        <v>1</v>
      </c>
      <c r="O178" t="s">
        <v>135</v>
      </c>
      <c r="P178" t="s">
        <v>99</v>
      </c>
      <c r="S178" t="s">
        <v>63</v>
      </c>
      <c r="T178">
        <v>2</v>
      </c>
      <c r="V178">
        <v>2</v>
      </c>
      <c r="W178" t="s">
        <v>72</v>
      </c>
      <c r="AA178" t="s">
        <v>38</v>
      </c>
      <c r="AB178">
        <v>2</v>
      </c>
      <c r="AC178">
        <v>1</v>
      </c>
      <c r="AD178">
        <v>2</v>
      </c>
      <c r="AE178" t="s">
        <v>67</v>
      </c>
      <c r="AI178">
        <v>8</v>
      </c>
      <c r="AJ178">
        <v>35</v>
      </c>
    </row>
    <row r="179" spans="1:36" x14ac:dyDescent="0.4">
      <c r="A179" t="s">
        <v>358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2</v>
      </c>
      <c r="N179">
        <v>1</v>
      </c>
      <c r="O179" t="s">
        <v>140</v>
      </c>
      <c r="S179" t="s">
        <v>33</v>
      </c>
      <c r="T179">
        <v>2</v>
      </c>
      <c r="V179">
        <v>1</v>
      </c>
      <c r="W179" t="s">
        <v>46</v>
      </c>
      <c r="X179" t="s">
        <v>66</v>
      </c>
      <c r="AA179" t="s">
        <v>43</v>
      </c>
      <c r="AB179">
        <v>1</v>
      </c>
      <c r="AD179">
        <v>1</v>
      </c>
      <c r="AE179" t="s">
        <v>135</v>
      </c>
      <c r="AF179" t="s">
        <v>136</v>
      </c>
      <c r="AI179">
        <v>4</v>
      </c>
      <c r="AJ179">
        <v>25</v>
      </c>
    </row>
    <row r="180" spans="1:36" x14ac:dyDescent="0.4">
      <c r="A180" t="s">
        <v>359</v>
      </c>
      <c r="B180">
        <v>178</v>
      </c>
      <c r="C180" t="s">
        <v>33</v>
      </c>
      <c r="D180">
        <v>1</v>
      </c>
      <c r="F180">
        <v>2</v>
      </c>
      <c r="G180" t="s">
        <v>46</v>
      </c>
      <c r="H180" t="s">
        <v>35</v>
      </c>
      <c r="K180" t="s">
        <v>63</v>
      </c>
      <c r="L180">
        <v>2</v>
      </c>
      <c r="N180">
        <v>1</v>
      </c>
      <c r="O180" t="s">
        <v>72</v>
      </c>
      <c r="S180" t="s">
        <v>48</v>
      </c>
      <c r="T180">
        <v>1</v>
      </c>
      <c r="V180">
        <v>1</v>
      </c>
      <c r="W180" t="s">
        <v>49</v>
      </c>
      <c r="AA180" t="s">
        <v>45</v>
      </c>
      <c r="AB180">
        <v>2</v>
      </c>
      <c r="AD180">
        <v>1</v>
      </c>
      <c r="AE180" t="s">
        <v>47</v>
      </c>
      <c r="AI180">
        <v>4</v>
      </c>
      <c r="AJ180">
        <v>24</v>
      </c>
    </row>
    <row r="181" spans="1:36" x14ac:dyDescent="0.4">
      <c r="A181" t="s">
        <v>360</v>
      </c>
      <c r="B181">
        <v>179</v>
      </c>
      <c r="C181" t="s">
        <v>48</v>
      </c>
      <c r="D181">
        <v>2</v>
      </c>
      <c r="F181">
        <v>1</v>
      </c>
      <c r="G181" t="s">
        <v>89</v>
      </c>
      <c r="K181" t="s">
        <v>45</v>
      </c>
      <c r="L181">
        <v>2</v>
      </c>
      <c r="N181">
        <v>1</v>
      </c>
      <c r="O181" t="s">
        <v>47</v>
      </c>
      <c r="S181" t="s">
        <v>33</v>
      </c>
      <c r="T181">
        <v>3</v>
      </c>
      <c r="V181">
        <v>1</v>
      </c>
      <c r="W181" t="s">
        <v>46</v>
      </c>
      <c r="AA181" t="s">
        <v>38</v>
      </c>
      <c r="AB181">
        <v>1</v>
      </c>
      <c r="AC181">
        <v>1</v>
      </c>
      <c r="AD181">
        <v>1</v>
      </c>
      <c r="AE181" t="s">
        <v>67</v>
      </c>
      <c r="AF181" t="s">
        <v>96</v>
      </c>
      <c r="AI181">
        <v>5</v>
      </c>
      <c r="AJ181">
        <v>20</v>
      </c>
    </row>
    <row r="182" spans="1:36" x14ac:dyDescent="0.4">
      <c r="A182" t="s">
        <v>361</v>
      </c>
      <c r="B182">
        <v>180</v>
      </c>
      <c r="C182" t="s">
        <v>43</v>
      </c>
      <c r="D182">
        <v>2</v>
      </c>
      <c r="F182">
        <v>1</v>
      </c>
      <c r="G182" t="s">
        <v>135</v>
      </c>
      <c r="H182" t="s">
        <v>136</v>
      </c>
      <c r="K182" t="s">
        <v>63</v>
      </c>
      <c r="L182">
        <v>2</v>
      </c>
      <c r="N182">
        <v>1</v>
      </c>
      <c r="O182" t="s">
        <v>72</v>
      </c>
      <c r="S182" t="s">
        <v>48</v>
      </c>
      <c r="T182">
        <v>3</v>
      </c>
      <c r="V182">
        <v>1</v>
      </c>
      <c r="W182" t="s">
        <v>49</v>
      </c>
      <c r="AA182" t="s">
        <v>45</v>
      </c>
      <c r="AB182">
        <v>2</v>
      </c>
      <c r="AD182">
        <v>1</v>
      </c>
      <c r="AE182" t="s">
        <v>47</v>
      </c>
      <c r="AI182">
        <v>6</v>
      </c>
      <c r="AJ182">
        <v>29</v>
      </c>
    </row>
    <row r="183" spans="1:36" x14ac:dyDescent="0.4">
      <c r="A183" t="s">
        <v>362</v>
      </c>
      <c r="B183">
        <v>181</v>
      </c>
      <c r="C183" t="s">
        <v>43</v>
      </c>
      <c r="D183">
        <v>2</v>
      </c>
      <c r="F183">
        <v>1</v>
      </c>
      <c r="G183" t="s">
        <v>135</v>
      </c>
      <c r="H183" t="s">
        <v>99</v>
      </c>
      <c r="K183" t="s">
        <v>38</v>
      </c>
      <c r="L183">
        <v>2</v>
      </c>
      <c r="M183">
        <v>1</v>
      </c>
      <c r="N183">
        <v>1</v>
      </c>
      <c r="O183" t="s">
        <v>67</v>
      </c>
      <c r="S183" t="s">
        <v>48</v>
      </c>
      <c r="T183">
        <v>2</v>
      </c>
      <c r="V183">
        <v>1</v>
      </c>
      <c r="W183" t="s">
        <v>89</v>
      </c>
      <c r="AA183" t="s">
        <v>45</v>
      </c>
      <c r="AB183">
        <v>2</v>
      </c>
      <c r="AD183">
        <v>1</v>
      </c>
      <c r="AE183" t="s">
        <v>140</v>
      </c>
      <c r="AI183">
        <v>5</v>
      </c>
      <c r="AJ183">
        <v>27</v>
      </c>
    </row>
    <row r="184" spans="1:36" x14ac:dyDescent="0.4">
      <c r="A184" t="s">
        <v>363</v>
      </c>
      <c r="B184">
        <v>182</v>
      </c>
      <c r="C184" t="s">
        <v>48</v>
      </c>
      <c r="D184">
        <v>3</v>
      </c>
      <c r="F184">
        <v>1</v>
      </c>
      <c r="G184" t="s">
        <v>49</v>
      </c>
      <c r="K184" t="s">
        <v>45</v>
      </c>
      <c r="L184">
        <v>2</v>
      </c>
      <c r="N184">
        <v>1</v>
      </c>
      <c r="O184" t="s">
        <v>47</v>
      </c>
      <c r="S184" t="s">
        <v>63</v>
      </c>
      <c r="T184">
        <v>1</v>
      </c>
      <c r="V184">
        <v>2</v>
      </c>
      <c r="W184" t="s">
        <v>72</v>
      </c>
      <c r="AA184" t="s">
        <v>38</v>
      </c>
      <c r="AB184">
        <v>2</v>
      </c>
      <c r="AC184">
        <v>1</v>
      </c>
      <c r="AD184">
        <v>2</v>
      </c>
      <c r="AE184" t="s">
        <v>67</v>
      </c>
      <c r="AI184">
        <v>6</v>
      </c>
      <c r="AJ184">
        <v>34</v>
      </c>
    </row>
    <row r="185" spans="1:36" x14ac:dyDescent="0.4">
      <c r="A185" t="s">
        <v>364</v>
      </c>
      <c r="B185">
        <v>183</v>
      </c>
      <c r="C185" t="s">
        <v>33</v>
      </c>
      <c r="D185">
        <v>3</v>
      </c>
      <c r="F185">
        <v>1</v>
      </c>
      <c r="G185" t="s">
        <v>46</v>
      </c>
      <c r="K185" t="s">
        <v>43</v>
      </c>
      <c r="L185">
        <v>1</v>
      </c>
      <c r="N185">
        <v>1</v>
      </c>
      <c r="O185" t="s">
        <v>135</v>
      </c>
      <c r="P185" t="s">
        <v>99</v>
      </c>
      <c r="Q185" t="s">
        <v>100</v>
      </c>
      <c r="S185" t="s">
        <v>48</v>
      </c>
      <c r="T185">
        <v>1</v>
      </c>
      <c r="V185">
        <v>1</v>
      </c>
      <c r="W185" t="s">
        <v>89</v>
      </c>
      <c r="AA185" t="s">
        <v>63</v>
      </c>
      <c r="AB185">
        <v>1</v>
      </c>
      <c r="AD185">
        <v>1</v>
      </c>
      <c r="AE185" t="s">
        <v>72</v>
      </c>
      <c r="AF185" t="s">
        <v>146</v>
      </c>
      <c r="AG185" t="s">
        <v>148</v>
      </c>
      <c r="AI185">
        <v>6</v>
      </c>
      <c r="AJ185">
        <v>40</v>
      </c>
    </row>
    <row r="186" spans="1:36" x14ac:dyDescent="0.4">
      <c r="A186" t="s">
        <v>365</v>
      </c>
      <c r="B186">
        <v>184</v>
      </c>
      <c r="C186" t="s">
        <v>33</v>
      </c>
      <c r="D186">
        <v>2</v>
      </c>
      <c r="F186">
        <v>1</v>
      </c>
      <c r="G186" t="s">
        <v>46</v>
      </c>
      <c r="H186" t="s">
        <v>66</v>
      </c>
      <c r="K186" t="s">
        <v>45</v>
      </c>
      <c r="L186">
        <v>3</v>
      </c>
      <c r="N186">
        <v>1</v>
      </c>
      <c r="O186" t="s">
        <v>47</v>
      </c>
      <c r="P186" t="s">
        <v>76</v>
      </c>
      <c r="S186" t="s">
        <v>48</v>
      </c>
      <c r="T186">
        <v>1</v>
      </c>
      <c r="V186">
        <v>2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I186">
        <v>7</v>
      </c>
      <c r="AJ186">
        <v>30</v>
      </c>
    </row>
    <row r="187" spans="1:36" x14ac:dyDescent="0.4">
      <c r="A187" t="s">
        <v>366</v>
      </c>
      <c r="B187">
        <v>185</v>
      </c>
      <c r="C187" t="s">
        <v>48</v>
      </c>
      <c r="D187">
        <v>3</v>
      </c>
      <c r="F187">
        <v>3</v>
      </c>
      <c r="G187" t="s">
        <v>89</v>
      </c>
      <c r="K187" t="s">
        <v>63</v>
      </c>
      <c r="L187">
        <v>1</v>
      </c>
      <c r="N187">
        <v>1</v>
      </c>
      <c r="O187" t="s">
        <v>72</v>
      </c>
      <c r="S187" t="s">
        <v>33</v>
      </c>
      <c r="T187">
        <v>2</v>
      </c>
      <c r="V187">
        <v>1</v>
      </c>
      <c r="W187" t="s">
        <v>65</v>
      </c>
      <c r="AA187" t="s">
        <v>38</v>
      </c>
      <c r="AB187">
        <v>3</v>
      </c>
      <c r="AC187">
        <v>1</v>
      </c>
      <c r="AD187">
        <v>2</v>
      </c>
      <c r="AE187" t="s">
        <v>152</v>
      </c>
      <c r="AF187" t="s">
        <v>40</v>
      </c>
      <c r="AI187">
        <v>9</v>
      </c>
      <c r="AJ187">
        <v>39</v>
      </c>
    </row>
    <row r="188" spans="1:36" x14ac:dyDescent="0.4">
      <c r="A188" t="s">
        <v>367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H188" t="s">
        <v>136</v>
      </c>
      <c r="K188" t="s">
        <v>45</v>
      </c>
      <c r="L188">
        <v>2</v>
      </c>
      <c r="N188">
        <v>2</v>
      </c>
      <c r="O188" t="s">
        <v>47</v>
      </c>
      <c r="P188" t="s">
        <v>141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AA188" t="s">
        <v>63</v>
      </c>
      <c r="AB188">
        <v>3</v>
      </c>
      <c r="AD188">
        <v>1</v>
      </c>
      <c r="AE188" t="s">
        <v>72</v>
      </c>
      <c r="AF188" t="s">
        <v>146</v>
      </c>
      <c r="AI188">
        <v>9</v>
      </c>
      <c r="AJ188">
        <v>36</v>
      </c>
    </row>
    <row r="189" spans="1:36" x14ac:dyDescent="0.4">
      <c r="A189" t="s">
        <v>368</v>
      </c>
      <c r="B189">
        <v>187</v>
      </c>
      <c r="C189" t="s">
        <v>43</v>
      </c>
      <c r="D189">
        <v>1</v>
      </c>
      <c r="F189">
        <v>1</v>
      </c>
      <c r="G189" t="s">
        <v>135</v>
      </c>
      <c r="H189" t="s">
        <v>99</v>
      </c>
      <c r="I189" t="s">
        <v>75</v>
      </c>
      <c r="K189" t="s">
        <v>38</v>
      </c>
      <c r="L189">
        <v>2</v>
      </c>
      <c r="M189">
        <v>1</v>
      </c>
      <c r="N189">
        <v>1</v>
      </c>
      <c r="O189" t="s">
        <v>152</v>
      </c>
      <c r="P189" t="s">
        <v>96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AA189" t="s">
        <v>63</v>
      </c>
      <c r="AB189">
        <v>2</v>
      </c>
      <c r="AD189">
        <v>1</v>
      </c>
      <c r="AE189" t="s">
        <v>72</v>
      </c>
      <c r="AI189">
        <v>6</v>
      </c>
      <c r="AJ189">
        <v>36</v>
      </c>
    </row>
    <row r="190" spans="1:36" x14ac:dyDescent="0.4">
      <c r="A190" t="s">
        <v>369</v>
      </c>
      <c r="B190">
        <v>188</v>
      </c>
      <c r="C190" t="s">
        <v>45</v>
      </c>
      <c r="D190">
        <v>2</v>
      </c>
      <c r="F190">
        <v>1</v>
      </c>
      <c r="G190" t="s">
        <v>86</v>
      </c>
      <c r="K190" t="s">
        <v>38</v>
      </c>
      <c r="L190">
        <v>3</v>
      </c>
      <c r="M190">
        <v>1</v>
      </c>
      <c r="N190">
        <v>1</v>
      </c>
      <c r="O190" t="s">
        <v>152</v>
      </c>
      <c r="P190" t="s">
        <v>96</v>
      </c>
      <c r="S190" t="s">
        <v>48</v>
      </c>
      <c r="T190">
        <v>2</v>
      </c>
      <c r="V190">
        <v>1</v>
      </c>
      <c r="W190" t="s">
        <v>89</v>
      </c>
      <c r="AA190" t="s">
        <v>63</v>
      </c>
      <c r="AB190">
        <v>2</v>
      </c>
      <c r="AD190">
        <v>1</v>
      </c>
      <c r="AE190" t="s">
        <v>72</v>
      </c>
      <c r="AI190">
        <v>6</v>
      </c>
      <c r="AJ190">
        <v>29</v>
      </c>
    </row>
    <row r="191" spans="1:36" x14ac:dyDescent="0.4">
      <c r="A191" t="s">
        <v>370</v>
      </c>
      <c r="B191">
        <v>189</v>
      </c>
      <c r="C191" t="s">
        <v>48</v>
      </c>
      <c r="D191">
        <v>3</v>
      </c>
      <c r="F191">
        <v>1</v>
      </c>
      <c r="G191" t="s">
        <v>89</v>
      </c>
      <c r="K191" t="s">
        <v>38</v>
      </c>
      <c r="L191">
        <v>1</v>
      </c>
      <c r="M191">
        <v>1</v>
      </c>
      <c r="N191">
        <v>1</v>
      </c>
      <c r="O191" t="s">
        <v>67</v>
      </c>
      <c r="P191" t="s">
        <v>70</v>
      </c>
      <c r="S191" t="s">
        <v>33</v>
      </c>
      <c r="T191">
        <v>2</v>
      </c>
      <c r="V191">
        <v>1</v>
      </c>
      <c r="W191" t="s">
        <v>46</v>
      </c>
      <c r="AA191" t="s">
        <v>43</v>
      </c>
      <c r="AB191">
        <v>1</v>
      </c>
      <c r="AD191">
        <v>2</v>
      </c>
      <c r="AE191" t="s">
        <v>135</v>
      </c>
      <c r="AF191" t="s">
        <v>136</v>
      </c>
      <c r="AI191">
        <v>6</v>
      </c>
      <c r="AJ191">
        <v>24</v>
      </c>
    </row>
    <row r="192" spans="1:36" x14ac:dyDescent="0.4">
      <c r="A192" t="s">
        <v>371</v>
      </c>
      <c r="B192">
        <v>190</v>
      </c>
      <c r="C192" t="s">
        <v>48</v>
      </c>
      <c r="D192">
        <v>1</v>
      </c>
      <c r="F192">
        <v>1</v>
      </c>
      <c r="G192" t="s">
        <v>89</v>
      </c>
      <c r="H192" t="s">
        <v>84</v>
      </c>
      <c r="I192" t="s">
        <v>90</v>
      </c>
      <c r="K192" t="s">
        <v>38</v>
      </c>
      <c r="L192">
        <v>1</v>
      </c>
      <c r="M192">
        <v>2</v>
      </c>
      <c r="N192">
        <v>1</v>
      </c>
      <c r="O192" t="s">
        <v>67</v>
      </c>
      <c r="S192" t="s">
        <v>33</v>
      </c>
      <c r="T192">
        <v>2</v>
      </c>
      <c r="V192">
        <v>1</v>
      </c>
      <c r="W192" t="s">
        <v>46</v>
      </c>
      <c r="AA192" t="s">
        <v>45</v>
      </c>
      <c r="AB192">
        <v>2</v>
      </c>
      <c r="AD192">
        <v>1</v>
      </c>
      <c r="AE192" t="s">
        <v>47</v>
      </c>
      <c r="AI192">
        <v>5</v>
      </c>
      <c r="AJ192">
        <v>29</v>
      </c>
    </row>
    <row r="193" spans="1:36" x14ac:dyDescent="0.4">
      <c r="A193" t="s">
        <v>372</v>
      </c>
      <c r="B193">
        <v>191</v>
      </c>
      <c r="C193" t="s">
        <v>33</v>
      </c>
      <c r="D193">
        <v>3</v>
      </c>
      <c r="F193">
        <v>1</v>
      </c>
      <c r="G193" t="s">
        <v>65</v>
      </c>
      <c r="H193" t="s">
        <v>35</v>
      </c>
      <c r="K193" t="s">
        <v>63</v>
      </c>
      <c r="L193">
        <v>1</v>
      </c>
      <c r="N193">
        <v>1</v>
      </c>
      <c r="O193" t="s">
        <v>72</v>
      </c>
      <c r="P193" t="s">
        <v>95</v>
      </c>
      <c r="S193" t="s">
        <v>48</v>
      </c>
      <c r="T193">
        <v>1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3</v>
      </c>
      <c r="AE193" t="s">
        <v>67</v>
      </c>
      <c r="AI193">
        <v>6</v>
      </c>
      <c r="AJ193">
        <v>31</v>
      </c>
    </row>
    <row r="194" spans="1:36" x14ac:dyDescent="0.4">
      <c r="A194" t="s">
        <v>373</v>
      </c>
      <c r="B194">
        <v>192</v>
      </c>
      <c r="C194" t="s">
        <v>48</v>
      </c>
      <c r="D194">
        <v>2</v>
      </c>
      <c r="F194">
        <v>1</v>
      </c>
      <c r="G194" t="s">
        <v>89</v>
      </c>
      <c r="K194" t="s">
        <v>38</v>
      </c>
      <c r="L194">
        <v>1</v>
      </c>
      <c r="M194">
        <v>2</v>
      </c>
      <c r="N194">
        <v>1</v>
      </c>
      <c r="O194" t="s">
        <v>67</v>
      </c>
      <c r="P194" t="s">
        <v>70</v>
      </c>
      <c r="Q194" t="s">
        <v>153</v>
      </c>
      <c r="S194" t="s">
        <v>43</v>
      </c>
      <c r="T194">
        <v>1</v>
      </c>
      <c r="V194">
        <v>3</v>
      </c>
      <c r="W194" t="s">
        <v>135</v>
      </c>
      <c r="X194" t="s">
        <v>136</v>
      </c>
      <c r="AA194" t="s">
        <v>45</v>
      </c>
      <c r="AB194">
        <v>2</v>
      </c>
      <c r="AD194">
        <v>1</v>
      </c>
      <c r="AE194" t="s">
        <v>47</v>
      </c>
      <c r="AI194">
        <v>8</v>
      </c>
      <c r="AJ194">
        <v>30</v>
      </c>
    </row>
    <row r="195" spans="1:36" x14ac:dyDescent="0.4">
      <c r="A195" t="s">
        <v>374</v>
      </c>
      <c r="B195">
        <v>193</v>
      </c>
      <c r="C195" t="s">
        <v>43</v>
      </c>
      <c r="D195">
        <v>1</v>
      </c>
      <c r="F195">
        <v>1</v>
      </c>
      <c r="G195" t="s">
        <v>135</v>
      </c>
      <c r="H195" t="s">
        <v>99</v>
      </c>
      <c r="I195" t="s">
        <v>100</v>
      </c>
      <c r="J195" t="s">
        <v>139</v>
      </c>
      <c r="K195" t="s">
        <v>63</v>
      </c>
      <c r="L195">
        <v>2</v>
      </c>
      <c r="N195">
        <v>1</v>
      </c>
      <c r="O195" t="s">
        <v>72</v>
      </c>
      <c r="S195" t="s">
        <v>48</v>
      </c>
      <c r="T195">
        <v>3</v>
      </c>
      <c r="V195">
        <v>1</v>
      </c>
      <c r="W195" t="s">
        <v>49</v>
      </c>
      <c r="AA195" t="s">
        <v>38</v>
      </c>
      <c r="AB195">
        <v>2</v>
      </c>
      <c r="AC195">
        <v>1</v>
      </c>
      <c r="AD195">
        <v>1</v>
      </c>
      <c r="AE195" t="s">
        <v>67</v>
      </c>
      <c r="AI195">
        <v>7</v>
      </c>
      <c r="AJ195">
        <v>31</v>
      </c>
    </row>
    <row r="196" spans="1:36" x14ac:dyDescent="0.4">
      <c r="A196" t="s">
        <v>375</v>
      </c>
      <c r="B196">
        <v>194</v>
      </c>
      <c r="C196" t="s">
        <v>45</v>
      </c>
      <c r="D196">
        <v>3</v>
      </c>
      <c r="F196">
        <v>3</v>
      </c>
      <c r="G196" t="s">
        <v>86</v>
      </c>
      <c r="H196" t="s">
        <v>76</v>
      </c>
      <c r="K196" t="s">
        <v>63</v>
      </c>
      <c r="L196">
        <v>2</v>
      </c>
      <c r="N196">
        <v>1</v>
      </c>
      <c r="O196" t="s">
        <v>72</v>
      </c>
      <c r="S196" t="s">
        <v>48</v>
      </c>
      <c r="T196">
        <v>1</v>
      </c>
      <c r="V196">
        <v>1</v>
      </c>
      <c r="W196" t="s">
        <v>49</v>
      </c>
      <c r="X196" t="s">
        <v>71</v>
      </c>
      <c r="Y196" t="s">
        <v>90</v>
      </c>
      <c r="Z196" t="s">
        <v>52</v>
      </c>
      <c r="AA196" t="s">
        <v>38</v>
      </c>
      <c r="AB196">
        <v>3</v>
      </c>
      <c r="AC196">
        <v>1</v>
      </c>
      <c r="AD196">
        <v>1</v>
      </c>
      <c r="AE196" t="s">
        <v>152</v>
      </c>
      <c r="AI196">
        <v>11</v>
      </c>
      <c r="AJ196">
        <v>42</v>
      </c>
    </row>
    <row r="197" spans="1:36" x14ac:dyDescent="0.4">
      <c r="A197" t="s">
        <v>376</v>
      </c>
      <c r="B197">
        <v>195</v>
      </c>
      <c r="C197" t="s">
        <v>45</v>
      </c>
      <c r="D197">
        <v>2</v>
      </c>
      <c r="F197">
        <v>1</v>
      </c>
      <c r="G197" t="s">
        <v>140</v>
      </c>
      <c r="H197" t="s">
        <v>141</v>
      </c>
      <c r="K197" t="s">
        <v>63</v>
      </c>
      <c r="L197">
        <v>2</v>
      </c>
      <c r="N197">
        <v>1</v>
      </c>
      <c r="O197" t="s">
        <v>72</v>
      </c>
      <c r="S197" t="s">
        <v>33</v>
      </c>
      <c r="T197">
        <v>1</v>
      </c>
      <c r="V197">
        <v>2</v>
      </c>
      <c r="W197" t="s">
        <v>46</v>
      </c>
      <c r="AA197" t="s">
        <v>43</v>
      </c>
      <c r="AB197">
        <v>2</v>
      </c>
      <c r="AD197">
        <v>1</v>
      </c>
      <c r="AE197" t="s">
        <v>135</v>
      </c>
      <c r="AI197">
        <v>5</v>
      </c>
      <c r="AJ197">
        <v>19</v>
      </c>
    </row>
    <row r="198" spans="1:36" x14ac:dyDescent="0.4">
      <c r="A198" t="s">
        <v>377</v>
      </c>
      <c r="B198">
        <v>196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2</v>
      </c>
      <c r="O198" t="s">
        <v>67</v>
      </c>
      <c r="P198" t="s">
        <v>70</v>
      </c>
      <c r="Q198" t="s">
        <v>41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1</v>
      </c>
      <c r="AD198">
        <v>3</v>
      </c>
      <c r="AE198" t="s">
        <v>135</v>
      </c>
      <c r="AF198" t="s">
        <v>136</v>
      </c>
      <c r="AI198">
        <v>7</v>
      </c>
      <c r="AJ198">
        <v>37</v>
      </c>
    </row>
    <row r="199" spans="1:36" x14ac:dyDescent="0.4">
      <c r="A199" t="s">
        <v>378</v>
      </c>
      <c r="B199">
        <v>197</v>
      </c>
      <c r="C199" t="s">
        <v>33</v>
      </c>
      <c r="D199">
        <v>3</v>
      </c>
      <c r="F199">
        <v>1</v>
      </c>
      <c r="G199" t="s">
        <v>46</v>
      </c>
      <c r="K199" t="s">
        <v>43</v>
      </c>
      <c r="L199">
        <v>1</v>
      </c>
      <c r="N199">
        <v>1</v>
      </c>
      <c r="O199" t="s">
        <v>135</v>
      </c>
      <c r="P199" t="s">
        <v>99</v>
      </c>
      <c r="S199" t="s">
        <v>63</v>
      </c>
      <c r="T199">
        <v>3</v>
      </c>
      <c r="V199">
        <v>2</v>
      </c>
      <c r="W199" t="s">
        <v>72</v>
      </c>
      <c r="AA199" t="s">
        <v>38</v>
      </c>
      <c r="AB199">
        <v>1</v>
      </c>
      <c r="AC199">
        <v>2</v>
      </c>
      <c r="AD199">
        <v>1</v>
      </c>
      <c r="AE199" t="s">
        <v>67</v>
      </c>
      <c r="AI199">
        <v>8</v>
      </c>
      <c r="AJ199">
        <v>31</v>
      </c>
    </row>
    <row r="200" spans="1:36" x14ac:dyDescent="0.4">
      <c r="A200" t="s">
        <v>379</v>
      </c>
      <c r="B200">
        <v>198</v>
      </c>
      <c r="C200" t="s">
        <v>43</v>
      </c>
      <c r="D200">
        <v>3</v>
      </c>
      <c r="F200">
        <v>1</v>
      </c>
      <c r="G200" t="s">
        <v>135</v>
      </c>
      <c r="H200" t="s">
        <v>136</v>
      </c>
      <c r="K200" t="s">
        <v>63</v>
      </c>
      <c r="L200">
        <v>1</v>
      </c>
      <c r="N200">
        <v>1</v>
      </c>
      <c r="O200" t="s">
        <v>72</v>
      </c>
      <c r="S200" t="s">
        <v>33</v>
      </c>
      <c r="T200">
        <v>3</v>
      </c>
      <c r="V200">
        <v>3</v>
      </c>
      <c r="W200" t="s">
        <v>46</v>
      </c>
      <c r="X200" t="s">
        <v>130</v>
      </c>
      <c r="AA200" t="s">
        <v>45</v>
      </c>
      <c r="AB200">
        <v>2</v>
      </c>
      <c r="AD200">
        <v>1</v>
      </c>
      <c r="AE200" t="s">
        <v>47</v>
      </c>
      <c r="AI200">
        <v>9</v>
      </c>
      <c r="AJ200">
        <v>33</v>
      </c>
    </row>
    <row r="201" spans="1:36" x14ac:dyDescent="0.4">
      <c r="A201" t="s">
        <v>380</v>
      </c>
      <c r="B201">
        <v>199</v>
      </c>
      <c r="C201" t="s">
        <v>43</v>
      </c>
      <c r="D201">
        <v>2</v>
      </c>
      <c r="F201">
        <v>1</v>
      </c>
      <c r="G201" t="s">
        <v>135</v>
      </c>
      <c r="H201" t="s">
        <v>74</v>
      </c>
      <c r="K201" t="s">
        <v>38</v>
      </c>
      <c r="L201">
        <v>1</v>
      </c>
      <c r="M201">
        <v>1</v>
      </c>
      <c r="N201">
        <v>1</v>
      </c>
      <c r="O201" t="s">
        <v>67</v>
      </c>
      <c r="P201" t="s">
        <v>96</v>
      </c>
      <c r="Q201" t="s">
        <v>41</v>
      </c>
      <c r="R201" t="s">
        <v>156</v>
      </c>
      <c r="S201" t="s">
        <v>33</v>
      </c>
      <c r="T201">
        <v>2</v>
      </c>
      <c r="V201">
        <v>1</v>
      </c>
      <c r="W201" t="s">
        <v>65</v>
      </c>
      <c r="X201" t="s">
        <v>35</v>
      </c>
      <c r="AA201" t="s">
        <v>45</v>
      </c>
      <c r="AB201">
        <v>2</v>
      </c>
      <c r="AD201">
        <v>1</v>
      </c>
      <c r="AE201" t="s">
        <v>140</v>
      </c>
      <c r="AI201">
        <v>8</v>
      </c>
      <c r="AJ201">
        <v>34</v>
      </c>
    </row>
    <row r="202" spans="1:36" x14ac:dyDescent="0.4">
      <c r="A202" t="s">
        <v>381</v>
      </c>
      <c r="B202">
        <v>200</v>
      </c>
      <c r="C202" t="s">
        <v>33</v>
      </c>
      <c r="D202">
        <v>2</v>
      </c>
      <c r="F202">
        <v>3</v>
      </c>
      <c r="G202" t="s">
        <v>46</v>
      </c>
      <c r="K202" t="s">
        <v>45</v>
      </c>
      <c r="L202">
        <v>2</v>
      </c>
      <c r="N202">
        <v>1</v>
      </c>
      <c r="O202" t="s">
        <v>47</v>
      </c>
      <c r="S202" t="s">
        <v>63</v>
      </c>
      <c r="T202">
        <v>2</v>
      </c>
      <c r="V202">
        <v>1</v>
      </c>
      <c r="W202" t="s">
        <v>72</v>
      </c>
      <c r="AA202" t="s">
        <v>38</v>
      </c>
      <c r="AB202">
        <v>1</v>
      </c>
      <c r="AC202">
        <v>1</v>
      </c>
      <c r="AD202">
        <v>2</v>
      </c>
      <c r="AE202" t="s">
        <v>67</v>
      </c>
      <c r="AF202" t="s">
        <v>96</v>
      </c>
      <c r="AI202">
        <v>7</v>
      </c>
      <c r="AJ202">
        <v>29</v>
      </c>
    </row>
    <row r="203" spans="1:36" x14ac:dyDescent="0.4">
      <c r="A203" t="s">
        <v>382</v>
      </c>
      <c r="B203">
        <v>201</v>
      </c>
      <c r="C203" t="s">
        <v>43</v>
      </c>
      <c r="D203">
        <v>1</v>
      </c>
      <c r="F203">
        <v>1</v>
      </c>
      <c r="G203" t="s">
        <v>135</v>
      </c>
      <c r="H203" t="s">
        <v>99</v>
      </c>
      <c r="K203" t="s">
        <v>45</v>
      </c>
      <c r="L203">
        <v>2</v>
      </c>
      <c r="N203">
        <v>1</v>
      </c>
      <c r="O203" t="s">
        <v>47</v>
      </c>
      <c r="P203" t="s">
        <v>141</v>
      </c>
      <c r="S203" t="s">
        <v>33</v>
      </c>
      <c r="T203">
        <v>1</v>
      </c>
      <c r="V203">
        <v>2</v>
      </c>
      <c r="W203" t="s">
        <v>34</v>
      </c>
      <c r="X203" t="s">
        <v>66</v>
      </c>
      <c r="AA203" t="s">
        <v>63</v>
      </c>
      <c r="AB203">
        <v>2</v>
      </c>
      <c r="AD203">
        <v>2</v>
      </c>
      <c r="AE203" t="s">
        <v>72</v>
      </c>
      <c r="AI203">
        <v>7</v>
      </c>
      <c r="AJ203">
        <v>40</v>
      </c>
    </row>
    <row r="204" spans="1:36" x14ac:dyDescent="0.4">
      <c r="A204" t="s">
        <v>383</v>
      </c>
      <c r="B204">
        <v>202</v>
      </c>
      <c r="C204" t="s">
        <v>43</v>
      </c>
      <c r="D204">
        <v>1</v>
      </c>
      <c r="F204">
        <v>1</v>
      </c>
      <c r="G204" t="s">
        <v>135</v>
      </c>
      <c r="H204" t="s">
        <v>136</v>
      </c>
      <c r="K204" t="s">
        <v>38</v>
      </c>
      <c r="L204">
        <v>2</v>
      </c>
      <c r="M204">
        <v>1</v>
      </c>
      <c r="N204">
        <v>2</v>
      </c>
      <c r="O204" t="s">
        <v>67</v>
      </c>
      <c r="S204" t="s">
        <v>33</v>
      </c>
      <c r="T204">
        <v>2</v>
      </c>
      <c r="V204">
        <v>1</v>
      </c>
      <c r="W204" t="s">
        <v>65</v>
      </c>
      <c r="AA204" t="s">
        <v>63</v>
      </c>
      <c r="AB204">
        <v>2</v>
      </c>
      <c r="AD204">
        <v>1</v>
      </c>
      <c r="AE204" t="s">
        <v>72</v>
      </c>
      <c r="AI204">
        <v>5</v>
      </c>
      <c r="AJ204">
        <v>30</v>
      </c>
    </row>
    <row r="205" spans="1:36" x14ac:dyDescent="0.4">
      <c r="A205" t="s">
        <v>384</v>
      </c>
      <c r="B205">
        <v>203</v>
      </c>
      <c r="C205" t="s">
        <v>45</v>
      </c>
      <c r="D205">
        <v>2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2</v>
      </c>
      <c r="O205" t="s">
        <v>152</v>
      </c>
      <c r="P205" t="s">
        <v>70</v>
      </c>
      <c r="Q205" t="s">
        <v>41</v>
      </c>
      <c r="S205" t="s">
        <v>33</v>
      </c>
      <c r="T205">
        <v>2</v>
      </c>
      <c r="V205">
        <v>2</v>
      </c>
      <c r="W205" t="s">
        <v>46</v>
      </c>
      <c r="AA205" t="s">
        <v>63</v>
      </c>
      <c r="AB205">
        <v>2</v>
      </c>
      <c r="AD205">
        <v>1</v>
      </c>
      <c r="AE205" t="s">
        <v>72</v>
      </c>
      <c r="AI205">
        <v>7</v>
      </c>
      <c r="AJ205">
        <v>40</v>
      </c>
    </row>
    <row r="206" spans="1:36" x14ac:dyDescent="0.4">
      <c r="A206" t="s">
        <v>385</v>
      </c>
      <c r="B206">
        <v>204</v>
      </c>
      <c r="C206" t="s">
        <v>33</v>
      </c>
      <c r="D206">
        <v>1</v>
      </c>
      <c r="F206">
        <v>1</v>
      </c>
      <c r="G206" t="s">
        <v>34</v>
      </c>
      <c r="H206" t="s">
        <v>66</v>
      </c>
      <c r="K206" t="s">
        <v>38</v>
      </c>
      <c r="L206">
        <v>3</v>
      </c>
      <c r="M206">
        <v>2</v>
      </c>
      <c r="N206">
        <v>3</v>
      </c>
      <c r="O206" t="s">
        <v>67</v>
      </c>
      <c r="S206" t="s">
        <v>43</v>
      </c>
      <c r="T206">
        <v>1</v>
      </c>
      <c r="V206">
        <v>1</v>
      </c>
      <c r="W206" t="s">
        <v>135</v>
      </c>
      <c r="X206" t="s">
        <v>99</v>
      </c>
      <c r="AA206" t="s">
        <v>45</v>
      </c>
      <c r="AB206">
        <v>3</v>
      </c>
      <c r="AD206">
        <v>2</v>
      </c>
      <c r="AE206" t="s">
        <v>47</v>
      </c>
      <c r="AI206">
        <v>10</v>
      </c>
      <c r="AJ206">
        <v>36</v>
      </c>
    </row>
    <row r="207" spans="1:36" x14ac:dyDescent="0.4">
      <c r="A207" t="s">
        <v>386</v>
      </c>
      <c r="B207">
        <v>205</v>
      </c>
      <c r="C207" t="s">
        <v>43</v>
      </c>
      <c r="D207">
        <v>3</v>
      </c>
      <c r="F207">
        <v>1</v>
      </c>
      <c r="G207" t="s">
        <v>135</v>
      </c>
      <c r="H207" t="s">
        <v>99</v>
      </c>
      <c r="K207" t="s">
        <v>63</v>
      </c>
      <c r="L207">
        <v>2</v>
      </c>
      <c r="N207">
        <v>1</v>
      </c>
      <c r="O207" t="s">
        <v>72</v>
      </c>
      <c r="S207" t="s">
        <v>33</v>
      </c>
      <c r="T207">
        <v>2</v>
      </c>
      <c r="V207">
        <v>3</v>
      </c>
      <c r="W207" t="s">
        <v>65</v>
      </c>
      <c r="AA207" t="s">
        <v>38</v>
      </c>
      <c r="AB207">
        <v>1</v>
      </c>
      <c r="AC207">
        <v>1</v>
      </c>
      <c r="AD207">
        <v>2</v>
      </c>
      <c r="AE207" t="s">
        <v>67</v>
      </c>
      <c r="AI207">
        <v>8</v>
      </c>
      <c r="AJ207">
        <v>25</v>
      </c>
    </row>
    <row r="208" spans="1:36" x14ac:dyDescent="0.4">
      <c r="A208" t="s">
        <v>387</v>
      </c>
      <c r="B208">
        <v>206</v>
      </c>
      <c r="C208" t="s">
        <v>45</v>
      </c>
      <c r="D208">
        <v>3</v>
      </c>
      <c r="F208">
        <v>1</v>
      </c>
      <c r="G208" t="s">
        <v>47</v>
      </c>
      <c r="K208" t="s">
        <v>63</v>
      </c>
      <c r="L208">
        <v>2</v>
      </c>
      <c r="N208">
        <v>1</v>
      </c>
      <c r="O208" t="s">
        <v>72</v>
      </c>
      <c r="S208" t="s">
        <v>33</v>
      </c>
      <c r="T208">
        <v>1</v>
      </c>
      <c r="V208">
        <v>1</v>
      </c>
      <c r="W208" t="s">
        <v>46</v>
      </c>
      <c r="AA208" t="s">
        <v>38</v>
      </c>
      <c r="AB208">
        <v>2</v>
      </c>
      <c r="AC208">
        <v>1</v>
      </c>
      <c r="AD208">
        <v>3</v>
      </c>
      <c r="AE208" t="s">
        <v>67</v>
      </c>
      <c r="AI208">
        <v>6</v>
      </c>
      <c r="AJ208">
        <v>30</v>
      </c>
    </row>
    <row r="209" spans="1:36" x14ac:dyDescent="0.4">
      <c r="A209" t="s">
        <v>388</v>
      </c>
      <c r="B209">
        <v>207</v>
      </c>
      <c r="C209" t="s">
        <v>43</v>
      </c>
      <c r="D209">
        <v>1</v>
      </c>
      <c r="F209">
        <v>1</v>
      </c>
      <c r="G209" t="s">
        <v>135</v>
      </c>
      <c r="H209" t="s">
        <v>99</v>
      </c>
      <c r="K209" t="s">
        <v>45</v>
      </c>
      <c r="L209">
        <v>2</v>
      </c>
      <c r="N209">
        <v>1</v>
      </c>
      <c r="O209" t="s">
        <v>47</v>
      </c>
      <c r="S209" t="s">
        <v>63</v>
      </c>
      <c r="T209">
        <v>1</v>
      </c>
      <c r="V209">
        <v>1</v>
      </c>
      <c r="W209" t="s">
        <v>72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I209">
        <v>3</v>
      </c>
      <c r="AJ209">
        <v>21</v>
      </c>
    </row>
    <row r="210" spans="1:36" x14ac:dyDescent="0.4">
      <c r="A210" t="s">
        <v>389</v>
      </c>
      <c r="B210">
        <v>208</v>
      </c>
      <c r="C210" t="s">
        <v>45</v>
      </c>
      <c r="D210">
        <v>2</v>
      </c>
      <c r="F210">
        <v>2</v>
      </c>
      <c r="G210" t="s">
        <v>140</v>
      </c>
      <c r="K210" t="s">
        <v>38</v>
      </c>
      <c r="L210">
        <v>1</v>
      </c>
      <c r="M210">
        <v>2</v>
      </c>
      <c r="N210">
        <v>1</v>
      </c>
      <c r="O210" t="s">
        <v>152</v>
      </c>
      <c r="P210" t="s">
        <v>96</v>
      </c>
      <c r="S210" t="s">
        <v>43</v>
      </c>
      <c r="T210">
        <v>2</v>
      </c>
      <c r="V210">
        <v>1</v>
      </c>
      <c r="W210" t="s">
        <v>135</v>
      </c>
      <c r="AA210" t="s">
        <v>63</v>
      </c>
      <c r="AB210">
        <v>2</v>
      </c>
      <c r="AD210">
        <v>1</v>
      </c>
      <c r="AE210" t="s">
        <v>72</v>
      </c>
      <c r="AI210">
        <v>6</v>
      </c>
      <c r="AJ210">
        <v>31</v>
      </c>
    </row>
    <row r="211" spans="1:36" x14ac:dyDescent="0.4">
      <c r="A211" t="s">
        <v>390</v>
      </c>
      <c r="B211">
        <v>209</v>
      </c>
      <c r="C211" t="s">
        <v>45</v>
      </c>
      <c r="D211">
        <v>3</v>
      </c>
      <c r="F211">
        <v>1</v>
      </c>
      <c r="G211" t="s">
        <v>47</v>
      </c>
      <c r="K211" t="s">
        <v>63</v>
      </c>
      <c r="L211">
        <v>3</v>
      </c>
      <c r="N211">
        <v>1</v>
      </c>
      <c r="O211" t="s">
        <v>72</v>
      </c>
      <c r="S211" t="s">
        <v>43</v>
      </c>
      <c r="T211">
        <v>1</v>
      </c>
      <c r="V211">
        <v>1</v>
      </c>
      <c r="W211" t="s">
        <v>135</v>
      </c>
      <c r="AA211" t="s">
        <v>38</v>
      </c>
      <c r="AB211">
        <v>3</v>
      </c>
      <c r="AC211">
        <v>1</v>
      </c>
      <c r="AD211">
        <v>3</v>
      </c>
      <c r="AE211" t="s">
        <v>67</v>
      </c>
      <c r="AI211">
        <v>8</v>
      </c>
      <c r="AJ211">
        <v>31</v>
      </c>
    </row>
  </sheetData>
  <conditionalFormatting sqref="A2:B1048576">
    <cfRule type="duplicateValues" dxfId="41" priority="2"/>
  </conditionalFormatting>
  <conditionalFormatting sqref="B1">
    <cfRule type="duplicateValues" dxfId="4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82"/>
  <sheetViews>
    <sheetView workbookViewId="0">
      <selection activeCell="C3" sqref="C3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style="3" bestFit="1" customWidth="1"/>
    <col min="15" max="15" width="23.3828125" bestFit="1" customWidth="1"/>
    <col min="16" max="16" width="2.84375" bestFit="1" customWidth="1"/>
    <col min="18" max="18" width="9.3046875" bestFit="1" customWidth="1"/>
  </cols>
  <sheetData>
    <row r="1" spans="1:16" ht="15" thickBot="1" x14ac:dyDescent="0.45">
      <c r="A1" s="41" t="s">
        <v>78</v>
      </c>
      <c r="B1" s="42"/>
      <c r="C1" s="42"/>
      <c r="D1" s="42"/>
      <c r="E1" s="42"/>
      <c r="F1" s="42"/>
      <c r="G1" s="43"/>
      <c r="I1" s="41" t="s">
        <v>82</v>
      </c>
      <c r="J1" s="42"/>
      <c r="K1" s="42"/>
      <c r="L1" s="42"/>
      <c r="M1" s="43"/>
      <c r="O1" s="5" t="s">
        <v>157</v>
      </c>
      <c r="P1" s="36">
        <f>MIN(Scenario1[crystals])</f>
        <v>2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5" t="s">
        <v>107</v>
      </c>
      <c r="P2" s="36">
        <f>AVERAGE(Scenario1[crystals])</f>
        <v>6.3809523809523814</v>
      </c>
    </row>
    <row r="3" spans="1:16" ht="15" thickBot="1" x14ac:dyDescent="0.45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3" s="3">
        <f>IF(ScenarioTeams1[[#This Row],[battles]],ScenarioTeams1[[#This Row],[wins]]/ScenarioTeams1[[#This Row],[battles]],0)</f>
        <v>0.73333333333333328</v>
      </c>
      <c r="O3" s="5" t="s">
        <v>159</v>
      </c>
      <c r="P3" s="36">
        <f>MAX(Scenario1[crystals])</f>
        <v>17</v>
      </c>
    </row>
    <row r="4" spans="1:16" ht="15" thickBot="1" x14ac:dyDescent="0.45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4" s="3">
        <f>IF(ScenarioTeams1[[#This Row],[battles]],ScenarioTeams1[[#This Row],[wins]]/ScenarioTeams1[[#This Row],[battles]],0)</f>
        <v>0.33333333333333331</v>
      </c>
      <c r="P4" s="8"/>
    </row>
    <row r="5" spans="1:16" ht="15" thickBot="1" x14ac:dyDescent="0.45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5" s="3">
        <f>IF(ScenarioTeams1[[#This Row],[battles]],ScenarioTeams1[[#This Row],[wins]]/ScenarioTeams1[[#This Row],[battles]],0)</f>
        <v>0.73333333333333328</v>
      </c>
      <c r="O5" s="5" t="s">
        <v>158</v>
      </c>
      <c r="P5" s="36">
        <f>MIN(Scenario1[turns])</f>
        <v>16</v>
      </c>
    </row>
    <row r="6" spans="1:16" ht="15" thickBot="1" x14ac:dyDescent="0.45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6" s="3">
        <f>IF(ScenarioTeams1[[#This Row],[battles]],ScenarioTeams1[[#This Row],[wins]]/ScenarioTeams1[[#This Row],[battles]],0)</f>
        <v>0.6</v>
      </c>
      <c r="O6" s="6" t="s">
        <v>108</v>
      </c>
      <c r="P6" s="37">
        <f>AVERAGE(Scenario1[turns])</f>
        <v>31.147619047619049</v>
      </c>
    </row>
    <row r="7" spans="1:16" ht="15" thickBot="1" x14ac:dyDescent="0.45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7" s="3">
        <f>IF(ScenarioTeams1[[#This Row],[battles]],ScenarioTeams1[[#This Row],[wins]]/ScenarioTeams1[[#This Row],[battles]],0)</f>
        <v>0.8</v>
      </c>
      <c r="O7" s="6" t="s">
        <v>160</v>
      </c>
      <c r="P7" s="37">
        <f>MAX(Scenario1[turns])</f>
        <v>85</v>
      </c>
    </row>
    <row r="8" spans="1:16" ht="15" thickBot="1" x14ac:dyDescent="0.45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8" s="3">
        <f>IF(ScenarioTeams1[[#This Row],[battles]],ScenarioTeams1[[#This Row],[wins]]/ScenarioTeams1[[#This Row],[battles]],0)</f>
        <v>0.46666666666666667</v>
      </c>
    </row>
    <row r="9" spans="1:16" ht="15" thickBot="1" x14ac:dyDescent="0.45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9" s="3">
        <f>IF(ScenarioTeams1[[#This Row],[battles]],ScenarioTeams1[[#This Row],[wins]]/ScenarioTeams1[[#This Row],[battles]],0)</f>
        <v>0.46666666666666667</v>
      </c>
      <c r="O9" s="35" t="s">
        <v>395</v>
      </c>
      <c r="P9" s="36">
        <f>120000*$P$6/1000/60</f>
        <v>62.295238095238098</v>
      </c>
    </row>
    <row r="10" spans="1:16" ht="15" thickBot="1" x14ac:dyDescent="0.45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0" s="3">
        <f>IF(ScenarioTeams1[[#This Row],[battles]],ScenarioTeams1[[#This Row],[wins]]/ScenarioTeams1[[#This Row],[battles]],0)</f>
        <v>0.6</v>
      </c>
      <c r="O10" s="34" t="s">
        <v>396</v>
      </c>
      <c r="P10" s="37">
        <f>P9*COUNTA(ScenarioStat1[hero-1])/60/24</f>
        <v>9.0847222222222221</v>
      </c>
    </row>
    <row r="11" spans="1:16" x14ac:dyDescent="0.4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1" s="3">
        <f>IF(ScenarioTeams1[[#This Row],[battles]],ScenarioTeams1[[#This Row],[wins]]/ScenarioTeams1[[#This Row],[battles]],0)</f>
        <v>0.6</v>
      </c>
    </row>
    <row r="12" spans="1:16" x14ac:dyDescent="0.4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2" s="3">
        <f>IF(ScenarioTeams1[[#This Row],[battles]],ScenarioTeams1[[#This Row],[wins]]/ScenarioTeams1[[#This Row],[battles]],0)</f>
        <v>0.46666666666666667</v>
      </c>
    </row>
    <row r="13" spans="1:16" x14ac:dyDescent="0.4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3" s="3">
        <f>IF(ScenarioTeams1[[#This Row],[battles]],ScenarioTeams1[[#This Row],[wins]]/ScenarioTeams1[[#This Row],[battles]],0)</f>
        <v>0.46666666666666667</v>
      </c>
    </row>
    <row r="14" spans="1:16" x14ac:dyDescent="0.4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4" s="3">
        <f>IF(ScenarioTeams1[[#This Row],[battles]],ScenarioTeams1[[#This Row],[wins]]/ScenarioTeams1[[#This Row],[battles]],0)</f>
        <v>0.46666666666666667</v>
      </c>
    </row>
    <row r="15" spans="1:16" x14ac:dyDescent="0.4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4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6" s="3">
        <f>IF(ScenarioTeams1[[#This Row],[battles]],ScenarioTeams1[[#This Row],[wins]]/ScenarioTeams1[[#This Row],[battles]],0)</f>
        <v>0.26666666666666666</v>
      </c>
    </row>
    <row r="17" spans="1:13" x14ac:dyDescent="0.4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7" s="3">
        <f>IF(ScenarioTeams1[[#This Row],[battles]],ScenarioTeams1[[#This Row],[wins]]/ScenarioTeams1[[#This Row],[battles]],0)</f>
        <v>0.53333333333333333</v>
      </c>
    </row>
    <row r="18" spans="1:13" x14ac:dyDescent="0.4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8" s="3">
        <f>IF(ScenarioTeams1[[#This Row],[battles]],ScenarioTeams1[[#This Row],[wins]]/ScenarioTeams1[[#This Row],[battles]],0)</f>
        <v>0.33333333333333331</v>
      </c>
    </row>
    <row r="19" spans="1:13" x14ac:dyDescent="0.4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9" s="3">
        <f>IF(ScenarioTeams1[[#This Row],[battles]],ScenarioTeams1[[#This Row],[wins]]/ScenarioTeams1[[#This Row],[battles]],0)</f>
        <v>0.2</v>
      </c>
    </row>
    <row r="20" spans="1:13" x14ac:dyDescent="0.4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0" s="3">
        <f>IF(ScenarioTeams1[[#This Row],[battles]],ScenarioTeams1[[#This Row],[wins]]/ScenarioTeams1[[#This Row],[battles]],0)</f>
        <v>0.33333333333333331</v>
      </c>
    </row>
    <row r="21" spans="1:13" x14ac:dyDescent="0.4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1" s="3">
        <f>IF(ScenarioTeams1[[#This Row],[battles]],ScenarioTeams1[[#This Row],[wins]]/ScenarioTeams1[[#This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2" s="3">
        <f>IF(ScenarioTeams1[[#This Row],[battles]],ScenarioTeams1[[#This Row],[wins]]/ScenarioTeams1[[#This Row],[battles]],0)</f>
        <v>0.6</v>
      </c>
    </row>
    <row r="23" spans="1:13" x14ac:dyDescent="0.4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3" s="3">
        <f>IF(ScenarioTeams1[[#This Row],[battles]],ScenarioTeams1[[#This Row],[wins]]/ScenarioTeams1[[#This Row],[battles]],0)</f>
        <v>0.33333333333333331</v>
      </c>
    </row>
    <row r="24" spans="1:13" x14ac:dyDescent="0.4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4" s="3">
        <f>IF(ScenarioTeams1[[#This Row],[battles]],ScenarioTeams1[[#This Row],[wins]]/ScenarioTeams1[[#This Row],[battles]],0)</f>
        <v>0.46666666666666667</v>
      </c>
    </row>
    <row r="25" spans="1:13" x14ac:dyDescent="0.4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5" s="3">
        <f>IF(ScenarioTeams1[[#This Row],[battles]],ScenarioTeams1[[#This Row],[wins]]/ScenarioTeams1[[#This Row],[battles]],0)</f>
        <v>0.4</v>
      </c>
    </row>
    <row r="26" spans="1:13" x14ac:dyDescent="0.4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6" s="3">
        <f>IF(ScenarioTeams1[[#This Row],[battles]],ScenarioTeams1[[#This Row],[wins]]/ScenarioTeams1[[#This Row],[battles]],0)</f>
        <v>0.8</v>
      </c>
    </row>
    <row r="27" spans="1:13" x14ac:dyDescent="0.4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7" s="3">
        <f>IF(ScenarioTeams1[[#This Row],[battles]],ScenarioTeams1[[#This Row],[wins]]/ScenarioTeams1[[#This Row],[battles]],0)</f>
        <v>0.6</v>
      </c>
    </row>
    <row r="28" spans="1:13" x14ac:dyDescent="0.4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8" s="3">
        <f>IF(ScenarioTeams1[[#This Row],[battles]],ScenarioTeams1[[#This Row],[wins]]/ScenarioTeams1[[#This Row],[battles]],0)</f>
        <v>0.73333333333333328</v>
      </c>
    </row>
    <row r="29" spans="1:13" x14ac:dyDescent="0.4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9" s="3">
        <f>IF(ScenarioTeams1[[#This Row],[battles]],ScenarioTeams1[[#This Row],[wins]]/ScenarioTeams1[[#This Row],[battles]],0)</f>
        <v>0.6</v>
      </c>
    </row>
    <row r="30" spans="1:13" x14ac:dyDescent="0.4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30" s="3">
        <f>IF(ScenarioTeams1[[#This Row],[battles]],ScenarioTeams1[[#This Row],[wins]]/ScenarioTeams1[[#This Row],[battles]],0)</f>
        <v>6.6666666666666666E-2</v>
      </c>
    </row>
    <row r="31" spans="1:13" x14ac:dyDescent="0.4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  <c r="L31" s="17"/>
    </row>
    <row r="32" spans="1:13" x14ac:dyDescent="0.4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  <c r="L32" s="17"/>
    </row>
    <row r="33" spans="1:12" x14ac:dyDescent="0.4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  <c r="L33" s="17"/>
    </row>
    <row r="34" spans="1:12" x14ac:dyDescent="0.4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  <c r="L34" s="17"/>
    </row>
    <row r="35" spans="1:12" x14ac:dyDescent="0.4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  <c r="L35" s="17"/>
    </row>
    <row r="36" spans="1:12" x14ac:dyDescent="0.4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  <c r="L36" s="17"/>
    </row>
    <row r="37" spans="1:12" x14ac:dyDescent="0.4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  <c r="L37" s="17"/>
    </row>
    <row r="38" spans="1:12" x14ac:dyDescent="0.4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">
        <f>ScenarioStat1[[#This Row],[team-1-win]]+ScenarioStat1[[#This Row],[team-2-win]]</f>
        <v>1</v>
      </c>
      <c r="L38" s="17"/>
    </row>
    <row r="39" spans="1:12" x14ac:dyDescent="0.4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  <c r="L39" s="17"/>
    </row>
    <row r="40" spans="1:12" x14ac:dyDescent="0.4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  <c r="L40" s="17"/>
    </row>
    <row r="41" spans="1:12" x14ac:dyDescent="0.4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  <c r="L41" s="17"/>
    </row>
    <row r="42" spans="1:12" x14ac:dyDescent="0.4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1</v>
      </c>
      <c r="L42" s="17"/>
    </row>
    <row r="43" spans="1:12" x14ac:dyDescent="0.4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  <c r="L43" s="17"/>
    </row>
    <row r="44" spans="1:12" x14ac:dyDescent="0.4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  <c r="L44" s="17"/>
    </row>
    <row r="45" spans="1:12" x14ac:dyDescent="0.4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  <c r="L45" s="17"/>
    </row>
    <row r="46" spans="1:12" x14ac:dyDescent="0.4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1</v>
      </c>
      <c r="L46" s="17"/>
    </row>
    <row r="47" spans="1:12" x14ac:dyDescent="0.4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  <c r="L47" s="17"/>
    </row>
    <row r="48" spans="1:12" x14ac:dyDescent="0.4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  <c r="L48" s="17"/>
    </row>
    <row r="49" spans="1:12" x14ac:dyDescent="0.4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  <c r="L49" s="17"/>
    </row>
    <row r="50" spans="1:12" x14ac:dyDescent="0.4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  <c r="L50" s="17"/>
    </row>
    <row r="51" spans="1:12" x14ac:dyDescent="0.4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1">
        <f>ScenarioStat1[[#This Row],[team-1-win]]+ScenarioStat1[[#This Row],[team-2-win]]</f>
        <v>1</v>
      </c>
      <c r="L51" s="17"/>
    </row>
    <row r="52" spans="1:12" x14ac:dyDescent="0.4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  <c r="L52" s="17"/>
    </row>
    <row r="53" spans="1:12" x14ac:dyDescent="0.4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  <c r="L53" s="17"/>
    </row>
    <row r="54" spans="1:12" x14ac:dyDescent="0.4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  <c r="L54" s="17"/>
    </row>
    <row r="55" spans="1:12" x14ac:dyDescent="0.4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  <c r="L55" s="17"/>
    </row>
    <row r="56" spans="1:12" x14ac:dyDescent="0.4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  <c r="L56" s="17"/>
    </row>
    <row r="57" spans="1:12" x14ac:dyDescent="0.4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  <c r="L57" s="17"/>
    </row>
    <row r="58" spans="1:12" x14ac:dyDescent="0.4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  <c r="L58" s="17"/>
    </row>
    <row r="59" spans="1:12" x14ac:dyDescent="0.4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12" x14ac:dyDescent="0.4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12" x14ac:dyDescent="0.4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12" x14ac:dyDescent="0.4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12" x14ac:dyDescent="0.4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12" x14ac:dyDescent="0.4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4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4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4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4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4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4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4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4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2">
        <f>ScenarioStat1[[#This Row],[team-1-win]]+ScenarioStat1[[#This Row],[team-2-win]]</f>
        <v>1</v>
      </c>
    </row>
    <row r="73" spans="1:7" x14ac:dyDescent="0.4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4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4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4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4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1</v>
      </c>
    </row>
    <row r="78" spans="1:7" x14ac:dyDescent="0.4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4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4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4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4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4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4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4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4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4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4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4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4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4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4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4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4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4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5">
        <f>ScenarioStat1[[#This Row],[team-1-win]]+ScenarioStat1[[#This Row],[team-2-win]]</f>
        <v>1</v>
      </c>
    </row>
    <row r="96" spans="1:7" x14ac:dyDescent="0.4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4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4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4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9">
        <f>ScenarioStat1[[#This Row],[team-1-win]]+ScenarioStat1[[#This Row],[team-2-win]]</f>
        <v>1</v>
      </c>
    </row>
    <row r="100" spans="1:7" x14ac:dyDescent="0.4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4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1">
        <f>ScenarioStat1[[#This Row],[team-1-win]]+ScenarioStat1[[#This Row],[team-2-win]]</f>
        <v>1</v>
      </c>
    </row>
    <row r="102" spans="1:7" x14ac:dyDescent="0.4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4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1</v>
      </c>
    </row>
    <row r="104" spans="1:7" x14ac:dyDescent="0.4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4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4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4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7">
        <f>ScenarioStat1[[#This Row],[team-1-win]]+ScenarioStat1[[#This Row],[team-2-win]]</f>
        <v>1</v>
      </c>
    </row>
    <row r="108" spans="1:7" x14ac:dyDescent="0.4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4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4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4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4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1</v>
      </c>
    </row>
    <row r="113" spans="1:7" x14ac:dyDescent="0.4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3">
        <f>ScenarioStat1[[#This Row],[team-1-win]]+ScenarioStat1[[#This Row],[team-2-win]]</f>
        <v>1</v>
      </c>
    </row>
    <row r="114" spans="1:7" x14ac:dyDescent="0.4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4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4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4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4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4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4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4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4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4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4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4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1</v>
      </c>
    </row>
    <row r="126" spans="1:7" x14ac:dyDescent="0.4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1</v>
      </c>
    </row>
    <row r="127" spans="1:7" x14ac:dyDescent="0.4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1</v>
      </c>
    </row>
    <row r="128" spans="1:7" x14ac:dyDescent="0.4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4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4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4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4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4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4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4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4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4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4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4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4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4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1</v>
      </c>
    </row>
    <row r="142" spans="1:7" x14ac:dyDescent="0.4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1</v>
      </c>
    </row>
    <row r="143" spans="1:7" x14ac:dyDescent="0.4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4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4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5">
        <f>ScenarioStat1[[#This Row],[team-1-win]]+ScenarioStat1[[#This Row],[team-2-win]]</f>
        <v>1</v>
      </c>
    </row>
    <row r="146" spans="1:7" x14ac:dyDescent="0.4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4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4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4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1</v>
      </c>
    </row>
    <row r="150" spans="1:7" x14ac:dyDescent="0.4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4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1</v>
      </c>
    </row>
    <row r="152" spans="1:7" x14ac:dyDescent="0.4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4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4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1</v>
      </c>
    </row>
    <row r="155" spans="1:7" x14ac:dyDescent="0.4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4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4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4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4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1</v>
      </c>
    </row>
    <row r="160" spans="1:7" x14ac:dyDescent="0.4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4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4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4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4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1</v>
      </c>
    </row>
    <row r="165" spans="1:7" x14ac:dyDescent="0.4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4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6">
        <f>ScenarioStat1[[#This Row],[team-1-win]]+ScenarioStat1[[#This Row],[team-2-win]]</f>
        <v>1</v>
      </c>
    </row>
    <row r="167" spans="1:7" x14ac:dyDescent="0.4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7">
        <f>ScenarioStat1[[#This Row],[team-1-win]]+ScenarioStat1[[#This Row],[team-2-win]]</f>
        <v>1</v>
      </c>
    </row>
    <row r="168" spans="1:7" x14ac:dyDescent="0.4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4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4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4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4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4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4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4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1</v>
      </c>
    </row>
    <row r="176" spans="1:7" x14ac:dyDescent="0.4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4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4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4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4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4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4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4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4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4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1</v>
      </c>
    </row>
    <row r="186" spans="1:7" x14ac:dyDescent="0.4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6">
        <f>ScenarioStat1[[#This Row],[team-1-win]]+ScenarioStat1[[#This Row],[team-2-win]]</f>
        <v>1</v>
      </c>
    </row>
    <row r="187" spans="1:7" x14ac:dyDescent="0.4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4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4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4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4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4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1</v>
      </c>
    </row>
    <row r="193" spans="1:7" x14ac:dyDescent="0.4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4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4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4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4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4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4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4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4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4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4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4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4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4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4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1</v>
      </c>
    </row>
    <row r="208" spans="1:7" x14ac:dyDescent="0.4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4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9">
        <f>ScenarioStat1[[#This Row],[team-1-win]]+ScenarioStat1[[#This Row],[team-2-win]]</f>
        <v>1</v>
      </c>
    </row>
    <row r="210" spans="1:7" x14ac:dyDescent="0.4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4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4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  <row r="213" spans="1:7" x14ac:dyDescent="0.4">
      <c r="D213" s="17"/>
    </row>
    <row r="214" spans="1:7" x14ac:dyDescent="0.4">
      <c r="D214" s="17"/>
    </row>
    <row r="215" spans="1:7" x14ac:dyDescent="0.4">
      <c r="D215" s="17"/>
    </row>
    <row r="216" spans="1:7" x14ac:dyDescent="0.4">
      <c r="D216" s="17"/>
    </row>
    <row r="217" spans="1:7" x14ac:dyDescent="0.4">
      <c r="D217" s="17"/>
    </row>
    <row r="218" spans="1:7" x14ac:dyDescent="0.4">
      <c r="D218" s="17"/>
    </row>
    <row r="219" spans="1:7" x14ac:dyDescent="0.4">
      <c r="D219" s="17"/>
    </row>
    <row r="220" spans="1:7" x14ac:dyDescent="0.4">
      <c r="D220" s="17"/>
    </row>
    <row r="221" spans="1:7" x14ac:dyDescent="0.4">
      <c r="D221" s="17"/>
    </row>
    <row r="222" spans="1:7" x14ac:dyDescent="0.4">
      <c r="D222" s="17"/>
    </row>
    <row r="223" spans="1:7" x14ac:dyDescent="0.4">
      <c r="D223" s="17"/>
    </row>
    <row r="224" spans="1:7" x14ac:dyDescent="0.4">
      <c r="D224" s="17"/>
    </row>
    <row r="225" spans="4:4" x14ac:dyDescent="0.4">
      <c r="D225" s="17"/>
    </row>
    <row r="226" spans="4:4" x14ac:dyDescent="0.4">
      <c r="D226" s="17"/>
    </row>
    <row r="227" spans="4:4" x14ac:dyDescent="0.4">
      <c r="D227" s="17"/>
    </row>
    <row r="228" spans="4:4" x14ac:dyDescent="0.4">
      <c r="D228" s="17"/>
    </row>
    <row r="229" spans="4:4" x14ac:dyDescent="0.4">
      <c r="D229" s="17"/>
    </row>
    <row r="230" spans="4:4" x14ac:dyDescent="0.4">
      <c r="D230" s="17"/>
    </row>
    <row r="231" spans="4:4" x14ac:dyDescent="0.4">
      <c r="D231" s="17"/>
    </row>
    <row r="232" spans="4:4" x14ac:dyDescent="0.4">
      <c r="D232" s="17"/>
    </row>
    <row r="233" spans="4:4" x14ac:dyDescent="0.4">
      <c r="D233" s="17"/>
    </row>
    <row r="234" spans="4:4" x14ac:dyDescent="0.4">
      <c r="D234" s="17"/>
    </row>
    <row r="235" spans="4:4" x14ac:dyDescent="0.4">
      <c r="D235" s="17"/>
    </row>
    <row r="236" spans="4:4" x14ac:dyDescent="0.4">
      <c r="D236" s="17"/>
    </row>
    <row r="237" spans="4:4" x14ac:dyDescent="0.4">
      <c r="D237" s="17"/>
    </row>
    <row r="238" spans="4:4" x14ac:dyDescent="0.4">
      <c r="D238" s="17"/>
    </row>
    <row r="239" spans="4:4" x14ac:dyDescent="0.4">
      <c r="D239" s="17"/>
    </row>
    <row r="240" spans="4:4" x14ac:dyDescent="0.4">
      <c r="D240" s="17"/>
    </row>
    <row r="241" spans="4:4" x14ac:dyDescent="0.4">
      <c r="D241" s="17"/>
    </row>
    <row r="242" spans="4:4" x14ac:dyDescent="0.4">
      <c r="D242" s="17"/>
    </row>
    <row r="243" spans="4:4" x14ac:dyDescent="0.4">
      <c r="D243" s="17"/>
    </row>
    <row r="244" spans="4:4" x14ac:dyDescent="0.4">
      <c r="D244" s="17"/>
    </row>
    <row r="245" spans="4:4" x14ac:dyDescent="0.4">
      <c r="D245" s="17"/>
    </row>
    <row r="246" spans="4:4" x14ac:dyDescent="0.4">
      <c r="D246" s="17"/>
    </row>
    <row r="247" spans="4:4" x14ac:dyDescent="0.4">
      <c r="D247" s="17"/>
    </row>
    <row r="248" spans="4:4" x14ac:dyDescent="0.4">
      <c r="D248" s="17"/>
    </row>
    <row r="249" spans="4:4" x14ac:dyDescent="0.4">
      <c r="D249" s="17"/>
    </row>
    <row r="250" spans="4:4" x14ac:dyDescent="0.4">
      <c r="D250" s="17"/>
    </row>
    <row r="251" spans="4:4" x14ac:dyDescent="0.4">
      <c r="D251" s="17"/>
    </row>
    <row r="252" spans="4:4" x14ac:dyDescent="0.4">
      <c r="D252" s="17"/>
    </row>
    <row r="253" spans="4:4" x14ac:dyDescent="0.4">
      <c r="D253" s="17"/>
    </row>
    <row r="254" spans="4:4" x14ac:dyDescent="0.4">
      <c r="D254" s="17"/>
    </row>
    <row r="255" spans="4:4" x14ac:dyDescent="0.4">
      <c r="D255" s="17"/>
    </row>
    <row r="256" spans="4:4" x14ac:dyDescent="0.4">
      <c r="D256" s="17"/>
    </row>
    <row r="257" spans="4:4" x14ac:dyDescent="0.4">
      <c r="D257" s="17"/>
    </row>
    <row r="258" spans="4:4" x14ac:dyDescent="0.4">
      <c r="D258" s="17"/>
    </row>
    <row r="259" spans="4:4" x14ac:dyDescent="0.4">
      <c r="D259" s="17"/>
    </row>
    <row r="260" spans="4:4" x14ac:dyDescent="0.4">
      <c r="D260" s="17"/>
    </row>
    <row r="261" spans="4:4" x14ac:dyDescent="0.4">
      <c r="D261" s="17"/>
    </row>
    <row r="262" spans="4:4" x14ac:dyDescent="0.4">
      <c r="D262" s="17"/>
    </row>
    <row r="263" spans="4:4" x14ac:dyDescent="0.4">
      <c r="D263" s="17"/>
    </row>
    <row r="264" spans="4:4" x14ac:dyDescent="0.4">
      <c r="D264" s="17"/>
    </row>
    <row r="265" spans="4:4" x14ac:dyDescent="0.4">
      <c r="D265" s="17"/>
    </row>
    <row r="266" spans="4:4" x14ac:dyDescent="0.4">
      <c r="D266" s="17"/>
    </row>
    <row r="267" spans="4:4" x14ac:dyDescent="0.4">
      <c r="D267" s="17"/>
    </row>
    <row r="268" spans="4:4" x14ac:dyDescent="0.4">
      <c r="D268" s="17"/>
    </row>
    <row r="269" spans="4:4" x14ac:dyDescent="0.4">
      <c r="D269" s="17"/>
    </row>
    <row r="270" spans="4:4" x14ac:dyDescent="0.4">
      <c r="D270" s="17"/>
    </row>
    <row r="271" spans="4:4" x14ac:dyDescent="0.4">
      <c r="D271" s="17"/>
    </row>
    <row r="272" spans="4:4" x14ac:dyDescent="0.4">
      <c r="D272" s="17"/>
    </row>
    <row r="273" spans="4:4" x14ac:dyDescent="0.4">
      <c r="D273" s="17"/>
    </row>
    <row r="274" spans="4:4" x14ac:dyDescent="0.4">
      <c r="D274" s="17"/>
    </row>
    <row r="275" spans="4:4" x14ac:dyDescent="0.4">
      <c r="D275" s="17"/>
    </row>
    <row r="276" spans="4:4" x14ac:dyDescent="0.4">
      <c r="D276" s="17"/>
    </row>
    <row r="277" spans="4:4" x14ac:dyDescent="0.4">
      <c r="D277" s="17"/>
    </row>
    <row r="278" spans="4:4" x14ac:dyDescent="0.4">
      <c r="D278" s="17"/>
    </row>
    <row r="279" spans="4:4" x14ac:dyDescent="0.4">
      <c r="D279" s="17"/>
    </row>
    <row r="280" spans="4:4" x14ac:dyDescent="0.4">
      <c r="D280" s="17"/>
    </row>
    <row r="281" spans="4:4" x14ac:dyDescent="0.4">
      <c r="D281" s="17"/>
    </row>
    <row r="282" spans="4:4" x14ac:dyDescent="0.4">
      <c r="D282" s="17"/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A16" workbookViewId="0">
      <selection activeCell="E60" sqref="E60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customWidth="1"/>
    <col min="5" max="5" width="13.69140625" customWidth="1"/>
    <col min="6" max="6" width="13.3046875" customWidth="1"/>
    <col min="7" max="7" width="18.3828125" customWidth="1"/>
    <col min="8" max="8" width="19.15234375" customWidth="1"/>
    <col min="9" max="9" width="18" customWidth="1"/>
    <col min="10" max="10" width="18.3828125" customWidth="1"/>
    <col min="11" max="11" width="11.3828125" bestFit="1" customWidth="1"/>
    <col min="12" max="12" width="12.15234375" customWidth="1"/>
    <col min="13" max="13" width="11.84375" customWidth="1"/>
    <col min="14" max="14" width="11.3828125" customWidth="1"/>
    <col min="15" max="15" width="18.3828125" customWidth="1"/>
    <col min="16" max="16" width="18.69140625" customWidth="1"/>
    <col min="17" max="17" width="20.69140625" customWidth="1"/>
    <col min="18" max="18" width="17.3046875" customWidth="1"/>
    <col min="19" max="19" width="9.84375" bestFit="1" customWidth="1"/>
    <col min="20" max="20" width="7.84375" bestFit="1" customWidth="1"/>
  </cols>
  <sheetData>
    <row r="1" spans="1:20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4">
      <c r="A2" t="s">
        <v>629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83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87</v>
      </c>
      <c r="R2" t="s">
        <v>88</v>
      </c>
      <c r="S2">
        <v>0</v>
      </c>
      <c r="T2">
        <v>29</v>
      </c>
    </row>
    <row r="3" spans="1:20" x14ac:dyDescent="0.4">
      <c r="A3" t="s">
        <v>630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54</v>
      </c>
      <c r="H3" t="s">
        <v>83</v>
      </c>
      <c r="I3" t="s">
        <v>105</v>
      </c>
      <c r="J3" t="s">
        <v>98</v>
      </c>
      <c r="K3" t="s">
        <v>48</v>
      </c>
      <c r="L3">
        <v>3</v>
      </c>
      <c r="N3">
        <v>3</v>
      </c>
      <c r="O3" t="s">
        <v>49</v>
      </c>
      <c r="P3" t="s">
        <v>71</v>
      </c>
      <c r="Q3" t="s">
        <v>90</v>
      </c>
      <c r="R3" t="s">
        <v>52</v>
      </c>
      <c r="S3">
        <v>0</v>
      </c>
      <c r="T3">
        <v>37</v>
      </c>
    </row>
    <row r="4" spans="1:20" x14ac:dyDescent="0.4">
      <c r="A4" t="s">
        <v>631</v>
      </c>
      <c r="B4">
        <v>2</v>
      </c>
      <c r="C4" t="s">
        <v>33</v>
      </c>
      <c r="D4">
        <v>2</v>
      </c>
      <c r="F4">
        <v>3</v>
      </c>
      <c r="G4" t="s">
        <v>34</v>
      </c>
      <c r="K4" t="s">
        <v>53</v>
      </c>
      <c r="L4">
        <v>3</v>
      </c>
      <c r="M4">
        <v>1</v>
      </c>
      <c r="N4">
        <v>1</v>
      </c>
      <c r="O4" t="s">
        <v>111</v>
      </c>
      <c r="P4" t="s">
        <v>83</v>
      </c>
      <c r="S4">
        <v>0</v>
      </c>
      <c r="T4">
        <v>9</v>
      </c>
    </row>
    <row r="5" spans="1:20" x14ac:dyDescent="0.4">
      <c r="A5" t="s">
        <v>632</v>
      </c>
      <c r="B5">
        <v>3</v>
      </c>
      <c r="C5" t="s">
        <v>53</v>
      </c>
      <c r="D5">
        <v>1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115</v>
      </c>
      <c r="K5" t="s">
        <v>43</v>
      </c>
      <c r="L5">
        <v>3</v>
      </c>
      <c r="N5">
        <v>3</v>
      </c>
      <c r="O5" t="s">
        <v>135</v>
      </c>
      <c r="P5" t="s">
        <v>99</v>
      </c>
      <c r="Q5" t="s">
        <v>137</v>
      </c>
      <c r="R5" t="s">
        <v>139</v>
      </c>
      <c r="S5">
        <v>0</v>
      </c>
      <c r="T5">
        <v>16</v>
      </c>
    </row>
    <row r="6" spans="1:20" x14ac:dyDescent="0.4">
      <c r="A6" t="s">
        <v>633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105</v>
      </c>
      <c r="J6" t="s">
        <v>98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143</v>
      </c>
      <c r="S6">
        <v>0</v>
      </c>
      <c r="T6">
        <v>28</v>
      </c>
    </row>
    <row r="7" spans="1:20" x14ac:dyDescent="0.4">
      <c r="A7" t="s">
        <v>634</v>
      </c>
      <c r="B7">
        <v>5</v>
      </c>
      <c r="C7" t="s">
        <v>53</v>
      </c>
      <c r="D7">
        <v>3</v>
      </c>
      <c r="E7">
        <v>1</v>
      </c>
      <c r="F7">
        <v>2</v>
      </c>
      <c r="G7" t="s">
        <v>111</v>
      </c>
      <c r="H7" t="s">
        <v>83</v>
      </c>
      <c r="I7" t="s">
        <v>114</v>
      </c>
      <c r="J7" t="s">
        <v>115</v>
      </c>
      <c r="K7" t="s">
        <v>63</v>
      </c>
      <c r="L7">
        <v>3</v>
      </c>
      <c r="N7">
        <v>1</v>
      </c>
      <c r="O7" t="s">
        <v>103</v>
      </c>
      <c r="P7" t="s">
        <v>95</v>
      </c>
      <c r="Q7" t="s">
        <v>147</v>
      </c>
      <c r="R7" t="s">
        <v>149</v>
      </c>
      <c r="S7">
        <v>0</v>
      </c>
      <c r="T7">
        <v>13</v>
      </c>
    </row>
    <row r="8" spans="1:20" x14ac:dyDescent="0.4">
      <c r="A8" t="s">
        <v>635</v>
      </c>
      <c r="B8">
        <v>6</v>
      </c>
      <c r="C8" t="s">
        <v>53</v>
      </c>
      <c r="D8">
        <v>2</v>
      </c>
      <c r="E8">
        <v>1</v>
      </c>
      <c r="F8">
        <v>3</v>
      </c>
      <c r="G8" t="s">
        <v>54</v>
      </c>
      <c r="H8" t="s">
        <v>83</v>
      </c>
      <c r="I8" t="s">
        <v>105</v>
      </c>
      <c r="J8" t="s">
        <v>98</v>
      </c>
      <c r="K8" t="s">
        <v>38</v>
      </c>
      <c r="L8">
        <v>3</v>
      </c>
      <c r="M8">
        <v>3</v>
      </c>
      <c r="N8">
        <v>1</v>
      </c>
      <c r="O8" t="s">
        <v>152</v>
      </c>
      <c r="P8" t="s">
        <v>96</v>
      </c>
      <c r="Q8" t="s">
        <v>154</v>
      </c>
      <c r="R8" t="s">
        <v>155</v>
      </c>
      <c r="S8">
        <v>0</v>
      </c>
      <c r="T8">
        <v>16</v>
      </c>
    </row>
    <row r="9" spans="1:20" x14ac:dyDescent="0.4">
      <c r="A9" t="s">
        <v>636</v>
      </c>
      <c r="B9">
        <v>7</v>
      </c>
      <c r="C9" t="s">
        <v>56</v>
      </c>
      <c r="D9">
        <v>2</v>
      </c>
      <c r="F9">
        <v>2</v>
      </c>
      <c r="G9" t="s">
        <v>120</v>
      </c>
      <c r="H9" t="s">
        <v>122</v>
      </c>
      <c r="K9" t="s">
        <v>48</v>
      </c>
      <c r="L9">
        <v>1</v>
      </c>
      <c r="N9">
        <v>1</v>
      </c>
      <c r="O9" t="s">
        <v>49</v>
      </c>
      <c r="P9" t="s">
        <v>50</v>
      </c>
      <c r="Q9" t="s">
        <v>127</v>
      </c>
      <c r="R9" t="s">
        <v>52</v>
      </c>
      <c r="S9">
        <v>0</v>
      </c>
      <c r="T9">
        <v>8</v>
      </c>
    </row>
    <row r="10" spans="1:20" x14ac:dyDescent="0.4">
      <c r="A10" t="s">
        <v>637</v>
      </c>
      <c r="B10">
        <v>8</v>
      </c>
      <c r="C10" t="s">
        <v>33</v>
      </c>
      <c r="D10">
        <v>3</v>
      </c>
      <c r="F10">
        <v>2</v>
      </c>
      <c r="G10" t="s">
        <v>46</v>
      </c>
      <c r="H10" t="s">
        <v>130</v>
      </c>
      <c r="I10" t="s">
        <v>132</v>
      </c>
      <c r="K10" t="s">
        <v>56</v>
      </c>
      <c r="L10">
        <v>3</v>
      </c>
      <c r="N10">
        <v>3</v>
      </c>
      <c r="O10" t="s">
        <v>120</v>
      </c>
      <c r="S10">
        <v>0</v>
      </c>
      <c r="T10">
        <v>11</v>
      </c>
    </row>
    <row r="11" spans="1:20" x14ac:dyDescent="0.4">
      <c r="A11" t="s">
        <v>638</v>
      </c>
      <c r="B11">
        <v>9</v>
      </c>
      <c r="C11" t="s">
        <v>43</v>
      </c>
      <c r="D11">
        <v>2</v>
      </c>
      <c r="F11">
        <v>1</v>
      </c>
      <c r="G11" t="s">
        <v>135</v>
      </c>
      <c r="H11" t="s">
        <v>99</v>
      </c>
      <c r="I11" t="s">
        <v>137</v>
      </c>
      <c r="J11" t="s">
        <v>101</v>
      </c>
      <c r="K11" t="s">
        <v>56</v>
      </c>
      <c r="L11">
        <v>1</v>
      </c>
      <c r="N11">
        <v>2</v>
      </c>
      <c r="O11" t="s">
        <v>120</v>
      </c>
      <c r="P11" t="s">
        <v>69</v>
      </c>
      <c r="S11">
        <v>0</v>
      </c>
      <c r="T11">
        <v>9</v>
      </c>
    </row>
    <row r="12" spans="1:20" x14ac:dyDescent="0.4">
      <c r="A12" t="s">
        <v>639</v>
      </c>
      <c r="B12">
        <v>10</v>
      </c>
      <c r="C12" t="s">
        <v>45</v>
      </c>
      <c r="D12">
        <v>3</v>
      </c>
      <c r="F12">
        <v>2</v>
      </c>
      <c r="G12" t="s">
        <v>140</v>
      </c>
      <c r="H12" t="s">
        <v>76</v>
      </c>
      <c r="I12" t="s">
        <v>142</v>
      </c>
      <c r="J12" t="s">
        <v>143</v>
      </c>
      <c r="K12" t="s">
        <v>56</v>
      </c>
      <c r="L12">
        <v>2</v>
      </c>
      <c r="N12">
        <v>3</v>
      </c>
      <c r="O12" t="s">
        <v>120</v>
      </c>
      <c r="P12" t="s">
        <v>69</v>
      </c>
      <c r="Q12" t="s">
        <v>87</v>
      </c>
      <c r="R12" t="s">
        <v>124</v>
      </c>
      <c r="S12">
        <v>0</v>
      </c>
      <c r="T12">
        <v>15</v>
      </c>
    </row>
    <row r="13" spans="1:20" x14ac:dyDescent="0.4">
      <c r="A13" t="s">
        <v>640</v>
      </c>
      <c r="B13">
        <v>11</v>
      </c>
      <c r="C13" t="s">
        <v>56</v>
      </c>
      <c r="D13">
        <v>2</v>
      </c>
      <c r="F13">
        <v>1</v>
      </c>
      <c r="G13" t="s">
        <v>57</v>
      </c>
      <c r="H13" t="s">
        <v>122</v>
      </c>
      <c r="I13" t="s">
        <v>87</v>
      </c>
      <c r="K13" t="s">
        <v>63</v>
      </c>
      <c r="L13">
        <v>1</v>
      </c>
      <c r="N13">
        <v>1</v>
      </c>
      <c r="O13" t="s">
        <v>103</v>
      </c>
      <c r="P13" t="s">
        <v>146</v>
      </c>
      <c r="Q13" t="s">
        <v>104</v>
      </c>
      <c r="S13">
        <v>0</v>
      </c>
      <c r="T13">
        <v>7</v>
      </c>
    </row>
    <row r="14" spans="1:20" x14ac:dyDescent="0.4">
      <c r="A14" t="s">
        <v>641</v>
      </c>
      <c r="B14">
        <v>12</v>
      </c>
      <c r="C14" t="s">
        <v>38</v>
      </c>
      <c r="D14">
        <v>3</v>
      </c>
      <c r="E14">
        <v>2</v>
      </c>
      <c r="F14">
        <v>1</v>
      </c>
      <c r="G14" t="s">
        <v>152</v>
      </c>
      <c r="H14" t="s">
        <v>96</v>
      </c>
      <c r="I14" t="s">
        <v>154</v>
      </c>
      <c r="J14" t="s">
        <v>156</v>
      </c>
      <c r="K14" t="s">
        <v>56</v>
      </c>
      <c r="L14">
        <v>2</v>
      </c>
      <c r="N14">
        <v>3</v>
      </c>
      <c r="O14" t="s">
        <v>120</v>
      </c>
      <c r="P14" t="s">
        <v>69</v>
      </c>
      <c r="Q14" t="s">
        <v>87</v>
      </c>
      <c r="R14" t="s">
        <v>125</v>
      </c>
      <c r="S14">
        <v>0</v>
      </c>
      <c r="T14">
        <v>15</v>
      </c>
    </row>
    <row r="15" spans="1:20" x14ac:dyDescent="0.4">
      <c r="A15" t="s">
        <v>642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3</v>
      </c>
      <c r="N15">
        <v>1</v>
      </c>
      <c r="O15" t="s">
        <v>34</v>
      </c>
      <c r="S15">
        <v>0</v>
      </c>
      <c r="T15">
        <v>6</v>
      </c>
    </row>
    <row r="16" spans="1:20" x14ac:dyDescent="0.4">
      <c r="A16" t="s">
        <v>643</v>
      </c>
      <c r="B16">
        <v>14</v>
      </c>
      <c r="C16" t="s">
        <v>48</v>
      </c>
      <c r="D16">
        <v>2</v>
      </c>
      <c r="F16">
        <v>1</v>
      </c>
      <c r="G16" t="s">
        <v>126</v>
      </c>
      <c r="H16" t="s">
        <v>71</v>
      </c>
      <c r="I16" t="s">
        <v>51</v>
      </c>
      <c r="J16" t="s">
        <v>128</v>
      </c>
      <c r="K16" t="s">
        <v>43</v>
      </c>
      <c r="L16">
        <v>2</v>
      </c>
      <c r="N16">
        <v>1</v>
      </c>
      <c r="O16" t="s">
        <v>44</v>
      </c>
      <c r="P16" t="s">
        <v>136</v>
      </c>
      <c r="Q16" t="s">
        <v>137</v>
      </c>
      <c r="R16" t="s">
        <v>138</v>
      </c>
      <c r="S16">
        <v>0</v>
      </c>
      <c r="T16">
        <v>10</v>
      </c>
    </row>
    <row r="17" spans="1:20" x14ac:dyDescent="0.4">
      <c r="A17" t="s">
        <v>644</v>
      </c>
      <c r="B17">
        <v>15</v>
      </c>
      <c r="C17" t="s">
        <v>48</v>
      </c>
      <c r="D17">
        <v>2</v>
      </c>
      <c r="F17">
        <v>1</v>
      </c>
      <c r="G17" t="s">
        <v>126</v>
      </c>
      <c r="H17" t="s">
        <v>71</v>
      </c>
      <c r="I17" t="s">
        <v>90</v>
      </c>
      <c r="K17" t="s">
        <v>45</v>
      </c>
      <c r="L17">
        <v>3</v>
      </c>
      <c r="N17">
        <v>1</v>
      </c>
      <c r="O17" t="s">
        <v>86</v>
      </c>
      <c r="P17" t="s">
        <v>141</v>
      </c>
      <c r="Q17" t="s">
        <v>93</v>
      </c>
      <c r="S17">
        <v>0</v>
      </c>
      <c r="T17">
        <v>10</v>
      </c>
    </row>
    <row r="18" spans="1:20" x14ac:dyDescent="0.4">
      <c r="A18" t="s">
        <v>645</v>
      </c>
      <c r="B18">
        <v>16</v>
      </c>
      <c r="C18" t="s">
        <v>63</v>
      </c>
      <c r="D18">
        <v>3</v>
      </c>
      <c r="F18">
        <v>1</v>
      </c>
      <c r="G18" t="s">
        <v>72</v>
      </c>
      <c r="H18" t="s">
        <v>146</v>
      </c>
      <c r="I18" t="s">
        <v>148</v>
      </c>
      <c r="J18" t="s">
        <v>149</v>
      </c>
      <c r="K18" t="s">
        <v>48</v>
      </c>
      <c r="L18">
        <v>2</v>
      </c>
      <c r="N18">
        <v>1</v>
      </c>
      <c r="O18" t="s">
        <v>89</v>
      </c>
      <c r="P18" t="s">
        <v>71</v>
      </c>
      <c r="Q18" t="s">
        <v>90</v>
      </c>
      <c r="R18" t="s">
        <v>52</v>
      </c>
      <c r="S18">
        <v>0</v>
      </c>
      <c r="T18">
        <v>12</v>
      </c>
    </row>
    <row r="19" spans="1:20" x14ac:dyDescent="0.4">
      <c r="A19" t="s">
        <v>646</v>
      </c>
      <c r="B19">
        <v>17</v>
      </c>
      <c r="C19" t="s">
        <v>48</v>
      </c>
      <c r="D19">
        <v>1</v>
      </c>
      <c r="F19">
        <v>1</v>
      </c>
      <c r="G19" t="s">
        <v>89</v>
      </c>
      <c r="H19" t="s">
        <v>50</v>
      </c>
      <c r="I19" t="s">
        <v>51</v>
      </c>
      <c r="J19" t="s">
        <v>128</v>
      </c>
      <c r="K19" t="s">
        <v>38</v>
      </c>
      <c r="L19">
        <v>3</v>
      </c>
      <c r="M19">
        <v>1</v>
      </c>
      <c r="N19">
        <v>1</v>
      </c>
      <c r="O19" t="s">
        <v>67</v>
      </c>
      <c r="P19" t="s">
        <v>96</v>
      </c>
      <c r="S19">
        <v>0</v>
      </c>
      <c r="T19">
        <v>8</v>
      </c>
    </row>
    <row r="20" spans="1:20" x14ac:dyDescent="0.4">
      <c r="A20" t="s">
        <v>647</v>
      </c>
      <c r="B20">
        <v>18</v>
      </c>
      <c r="C20" t="s">
        <v>43</v>
      </c>
      <c r="D20">
        <v>2</v>
      </c>
      <c r="F20">
        <v>1</v>
      </c>
      <c r="G20" t="s">
        <v>44</v>
      </c>
      <c r="H20" t="s">
        <v>99</v>
      </c>
      <c r="K20" t="s">
        <v>33</v>
      </c>
      <c r="L20">
        <v>1</v>
      </c>
      <c r="N20">
        <v>2</v>
      </c>
      <c r="O20" t="s">
        <v>34</v>
      </c>
      <c r="S20">
        <v>0</v>
      </c>
      <c r="T20">
        <v>5</v>
      </c>
    </row>
    <row r="21" spans="1:20" x14ac:dyDescent="0.4">
      <c r="A21" t="s">
        <v>648</v>
      </c>
      <c r="B21">
        <v>19</v>
      </c>
      <c r="C21" t="s">
        <v>45</v>
      </c>
      <c r="D21">
        <v>2</v>
      </c>
      <c r="F21">
        <v>1</v>
      </c>
      <c r="G21" t="s">
        <v>140</v>
      </c>
      <c r="H21" t="s">
        <v>76</v>
      </c>
      <c r="K21" t="s">
        <v>33</v>
      </c>
      <c r="L21">
        <v>1</v>
      </c>
      <c r="N21">
        <v>2</v>
      </c>
      <c r="O21" t="s">
        <v>34</v>
      </c>
      <c r="S21">
        <v>0</v>
      </c>
      <c r="T21">
        <v>5</v>
      </c>
    </row>
    <row r="22" spans="1:20" x14ac:dyDescent="0.4">
      <c r="A22" t="s">
        <v>649</v>
      </c>
      <c r="B22">
        <v>20</v>
      </c>
      <c r="C22" t="s">
        <v>63</v>
      </c>
      <c r="D22">
        <v>3</v>
      </c>
      <c r="F22">
        <v>1</v>
      </c>
      <c r="G22" t="s">
        <v>72</v>
      </c>
      <c r="K22" t="s">
        <v>33</v>
      </c>
      <c r="L22">
        <v>2</v>
      </c>
      <c r="N22">
        <v>1</v>
      </c>
      <c r="O22" t="s">
        <v>34</v>
      </c>
      <c r="P22" t="s">
        <v>35</v>
      </c>
      <c r="S22">
        <v>0</v>
      </c>
      <c r="T22">
        <v>6</v>
      </c>
    </row>
    <row r="23" spans="1:20" x14ac:dyDescent="0.4">
      <c r="A23" t="s">
        <v>650</v>
      </c>
      <c r="B23">
        <v>21</v>
      </c>
      <c r="C23" t="s">
        <v>38</v>
      </c>
      <c r="D23">
        <v>1</v>
      </c>
      <c r="E23">
        <v>3</v>
      </c>
      <c r="F23">
        <v>1</v>
      </c>
      <c r="G23" t="s">
        <v>67</v>
      </c>
      <c r="H23" t="s">
        <v>96</v>
      </c>
      <c r="K23" t="s">
        <v>33</v>
      </c>
      <c r="L23">
        <v>1</v>
      </c>
      <c r="N23">
        <v>2</v>
      </c>
      <c r="O23" t="s">
        <v>46</v>
      </c>
      <c r="P23" t="s">
        <v>35</v>
      </c>
      <c r="S23">
        <v>0</v>
      </c>
      <c r="T23">
        <v>7</v>
      </c>
    </row>
    <row r="24" spans="1:20" x14ac:dyDescent="0.4">
      <c r="A24" t="s">
        <v>651</v>
      </c>
      <c r="B24">
        <v>22</v>
      </c>
      <c r="C24" t="s">
        <v>45</v>
      </c>
      <c r="D24">
        <v>3</v>
      </c>
      <c r="F24">
        <v>1</v>
      </c>
      <c r="G24" t="s">
        <v>140</v>
      </c>
      <c r="K24" t="s">
        <v>43</v>
      </c>
      <c r="L24">
        <v>2</v>
      </c>
      <c r="N24">
        <v>1</v>
      </c>
      <c r="O24" t="s">
        <v>135</v>
      </c>
      <c r="S24">
        <v>0</v>
      </c>
      <c r="T24">
        <v>5</v>
      </c>
    </row>
    <row r="25" spans="1:20" x14ac:dyDescent="0.4">
      <c r="A25" t="s">
        <v>652</v>
      </c>
      <c r="B25">
        <v>23</v>
      </c>
      <c r="C25" t="s">
        <v>43</v>
      </c>
      <c r="D25">
        <v>2</v>
      </c>
      <c r="F25">
        <v>1</v>
      </c>
      <c r="G25" t="s">
        <v>44</v>
      </c>
      <c r="H25" t="s">
        <v>99</v>
      </c>
      <c r="I25" t="s">
        <v>75</v>
      </c>
      <c r="J25" t="s">
        <v>139</v>
      </c>
      <c r="K25" t="s">
        <v>63</v>
      </c>
      <c r="L25">
        <v>1</v>
      </c>
      <c r="N25">
        <v>3</v>
      </c>
      <c r="O25" t="s">
        <v>72</v>
      </c>
      <c r="P25" t="s">
        <v>146</v>
      </c>
      <c r="Q25" t="s">
        <v>148</v>
      </c>
      <c r="S25">
        <v>0</v>
      </c>
      <c r="T25">
        <v>11</v>
      </c>
    </row>
    <row r="26" spans="1:20" x14ac:dyDescent="0.4">
      <c r="A26" t="s">
        <v>653</v>
      </c>
      <c r="B26">
        <v>24</v>
      </c>
      <c r="C26" t="s">
        <v>43</v>
      </c>
      <c r="D26">
        <v>3</v>
      </c>
      <c r="F26">
        <v>1</v>
      </c>
      <c r="G26" t="s">
        <v>135</v>
      </c>
      <c r="K26" t="s">
        <v>38</v>
      </c>
      <c r="L26">
        <v>1</v>
      </c>
      <c r="M26">
        <v>2</v>
      </c>
      <c r="N26">
        <v>2</v>
      </c>
      <c r="O26" t="s">
        <v>67</v>
      </c>
      <c r="S26">
        <v>0</v>
      </c>
      <c r="T26">
        <v>6</v>
      </c>
    </row>
    <row r="27" spans="1:20" x14ac:dyDescent="0.4">
      <c r="A27" t="s">
        <v>654</v>
      </c>
      <c r="B27">
        <v>25</v>
      </c>
      <c r="C27" t="s">
        <v>63</v>
      </c>
      <c r="D27">
        <v>1</v>
      </c>
      <c r="F27">
        <v>3</v>
      </c>
      <c r="G27" t="s">
        <v>72</v>
      </c>
      <c r="H27" t="s">
        <v>146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Q27" t="s">
        <v>93</v>
      </c>
      <c r="S27">
        <v>0</v>
      </c>
      <c r="T27">
        <v>10</v>
      </c>
    </row>
    <row r="28" spans="1:20" x14ac:dyDescent="0.4">
      <c r="A28" t="s">
        <v>655</v>
      </c>
      <c r="B28">
        <v>26</v>
      </c>
      <c r="C28" t="s">
        <v>38</v>
      </c>
      <c r="D28">
        <v>1</v>
      </c>
      <c r="E28">
        <v>2</v>
      </c>
      <c r="F28">
        <v>2</v>
      </c>
      <c r="G28" t="s">
        <v>67</v>
      </c>
      <c r="H28" t="s">
        <v>96</v>
      </c>
      <c r="I28" t="s">
        <v>153</v>
      </c>
      <c r="J28" t="s">
        <v>156</v>
      </c>
      <c r="K28" t="s">
        <v>45</v>
      </c>
      <c r="L28">
        <v>3</v>
      </c>
      <c r="N28">
        <v>1</v>
      </c>
      <c r="O28" t="s">
        <v>140</v>
      </c>
      <c r="P28" t="s">
        <v>76</v>
      </c>
      <c r="Q28" t="s">
        <v>102</v>
      </c>
      <c r="R28" t="s">
        <v>144</v>
      </c>
      <c r="S28">
        <v>0</v>
      </c>
      <c r="T28">
        <v>13</v>
      </c>
    </row>
    <row r="29" spans="1:20" x14ac:dyDescent="0.4">
      <c r="A29" t="s">
        <v>656</v>
      </c>
      <c r="B29">
        <v>27</v>
      </c>
      <c r="C29" t="s">
        <v>63</v>
      </c>
      <c r="D29">
        <v>2</v>
      </c>
      <c r="F29">
        <v>1</v>
      </c>
      <c r="G29" t="s">
        <v>103</v>
      </c>
      <c r="H29" t="s">
        <v>95</v>
      </c>
      <c r="I29" t="s">
        <v>147</v>
      </c>
      <c r="K29" t="s">
        <v>38</v>
      </c>
      <c r="L29">
        <v>1</v>
      </c>
      <c r="M29">
        <v>1</v>
      </c>
      <c r="N29">
        <v>1</v>
      </c>
      <c r="O29" t="s">
        <v>67</v>
      </c>
      <c r="P29" t="s">
        <v>96</v>
      </c>
      <c r="Q29" t="s">
        <v>153</v>
      </c>
      <c r="R29" t="s">
        <v>156</v>
      </c>
      <c r="S29">
        <v>0</v>
      </c>
      <c r="T29">
        <v>8</v>
      </c>
    </row>
    <row r="30" spans="1:20" x14ac:dyDescent="0.4">
      <c r="A30" t="s">
        <v>657</v>
      </c>
      <c r="B30">
        <v>0</v>
      </c>
      <c r="C30" t="s">
        <v>53</v>
      </c>
      <c r="D30">
        <v>3</v>
      </c>
      <c r="E30">
        <v>3</v>
      </c>
      <c r="F30">
        <v>3</v>
      </c>
      <c r="G30" t="s">
        <v>112</v>
      </c>
      <c r="H30" t="s">
        <v>83</v>
      </c>
      <c r="I30" t="s">
        <v>97</v>
      </c>
      <c r="J30" t="s">
        <v>115</v>
      </c>
      <c r="K30" t="s">
        <v>56</v>
      </c>
      <c r="L30">
        <v>3</v>
      </c>
      <c r="N30">
        <v>3</v>
      </c>
      <c r="O30" t="s">
        <v>120</v>
      </c>
      <c r="P30" t="s">
        <v>69</v>
      </c>
      <c r="Q30" t="s">
        <v>87</v>
      </c>
      <c r="R30" t="s">
        <v>88</v>
      </c>
      <c r="S30">
        <v>0</v>
      </c>
      <c r="T30">
        <v>41</v>
      </c>
    </row>
    <row r="31" spans="1:20" x14ac:dyDescent="0.4">
      <c r="A31" t="s">
        <v>658</v>
      </c>
      <c r="B31">
        <v>1</v>
      </c>
      <c r="C31" t="s">
        <v>53</v>
      </c>
      <c r="D31">
        <v>3</v>
      </c>
      <c r="E31">
        <v>1</v>
      </c>
      <c r="F31">
        <v>3</v>
      </c>
      <c r="G31" t="s">
        <v>54</v>
      </c>
      <c r="H31" t="s">
        <v>83</v>
      </c>
      <c r="I31" t="s">
        <v>105</v>
      </c>
      <c r="J31" t="s">
        <v>115</v>
      </c>
      <c r="K31" t="s">
        <v>48</v>
      </c>
      <c r="L31">
        <v>2</v>
      </c>
      <c r="N31">
        <v>2</v>
      </c>
      <c r="O31" t="s">
        <v>49</v>
      </c>
      <c r="P31" t="s">
        <v>71</v>
      </c>
      <c r="Q31" t="s">
        <v>90</v>
      </c>
      <c r="R31" t="s">
        <v>52</v>
      </c>
      <c r="S31">
        <v>0</v>
      </c>
      <c r="T31">
        <v>15</v>
      </c>
    </row>
    <row r="32" spans="1:20" x14ac:dyDescent="0.4">
      <c r="A32" t="s">
        <v>659</v>
      </c>
      <c r="B32">
        <v>2</v>
      </c>
      <c r="C32" t="s">
        <v>33</v>
      </c>
      <c r="D32">
        <v>2</v>
      </c>
      <c r="F32">
        <v>2</v>
      </c>
      <c r="G32" t="s">
        <v>34</v>
      </c>
      <c r="H32" t="s">
        <v>66</v>
      </c>
      <c r="K32" t="s">
        <v>53</v>
      </c>
      <c r="L32">
        <v>1</v>
      </c>
      <c r="M32">
        <v>1</v>
      </c>
      <c r="N32">
        <v>1</v>
      </c>
      <c r="O32" t="s">
        <v>111</v>
      </c>
      <c r="P32" t="s">
        <v>83</v>
      </c>
      <c r="Q32" t="s">
        <v>97</v>
      </c>
      <c r="S32">
        <v>0</v>
      </c>
      <c r="T32">
        <v>7</v>
      </c>
    </row>
    <row r="33" spans="1:20" x14ac:dyDescent="0.4">
      <c r="A33" t="s">
        <v>660</v>
      </c>
      <c r="B33">
        <v>3</v>
      </c>
      <c r="C33" t="s">
        <v>53</v>
      </c>
      <c r="D33">
        <v>2</v>
      </c>
      <c r="E33">
        <v>2</v>
      </c>
      <c r="F33">
        <v>1</v>
      </c>
      <c r="G33" t="s">
        <v>112</v>
      </c>
      <c r="H33" t="s">
        <v>83</v>
      </c>
      <c r="I33" t="s">
        <v>105</v>
      </c>
      <c r="K33" t="s">
        <v>43</v>
      </c>
      <c r="L33">
        <v>2</v>
      </c>
      <c r="N33">
        <v>2</v>
      </c>
      <c r="O33" t="s">
        <v>135</v>
      </c>
      <c r="P33" t="s">
        <v>99</v>
      </c>
      <c r="Q33" t="s">
        <v>75</v>
      </c>
      <c r="S33">
        <v>0</v>
      </c>
      <c r="T33">
        <v>10</v>
      </c>
    </row>
    <row r="34" spans="1:20" x14ac:dyDescent="0.4">
      <c r="A34" t="s">
        <v>661</v>
      </c>
      <c r="B34">
        <v>4</v>
      </c>
      <c r="C34" t="s">
        <v>53</v>
      </c>
      <c r="D34">
        <v>2</v>
      </c>
      <c r="E34">
        <v>1</v>
      </c>
      <c r="F34">
        <v>3</v>
      </c>
      <c r="G34" t="s">
        <v>112</v>
      </c>
      <c r="H34" t="s">
        <v>83</v>
      </c>
      <c r="I34" t="s">
        <v>97</v>
      </c>
      <c r="J34" t="s">
        <v>98</v>
      </c>
      <c r="K34" t="s">
        <v>45</v>
      </c>
      <c r="L34">
        <v>3</v>
      </c>
      <c r="N34">
        <v>2</v>
      </c>
      <c r="O34" t="s">
        <v>86</v>
      </c>
      <c r="P34" t="s">
        <v>76</v>
      </c>
      <c r="Q34" t="s">
        <v>93</v>
      </c>
      <c r="R34" t="s">
        <v>143</v>
      </c>
      <c r="S34">
        <v>0</v>
      </c>
      <c r="T34">
        <v>16</v>
      </c>
    </row>
    <row r="35" spans="1:20" x14ac:dyDescent="0.4">
      <c r="A35" t="s">
        <v>662</v>
      </c>
      <c r="B35">
        <v>5</v>
      </c>
      <c r="C35" t="s">
        <v>63</v>
      </c>
      <c r="D35">
        <v>3</v>
      </c>
      <c r="F35">
        <v>2</v>
      </c>
      <c r="G35" t="s">
        <v>103</v>
      </c>
      <c r="H35" t="s">
        <v>95</v>
      </c>
      <c r="I35" t="s">
        <v>147</v>
      </c>
      <c r="J35" t="s">
        <v>149</v>
      </c>
      <c r="K35" t="s">
        <v>53</v>
      </c>
      <c r="L35">
        <v>2</v>
      </c>
      <c r="M35">
        <v>1</v>
      </c>
      <c r="N35">
        <v>3</v>
      </c>
      <c r="O35" t="s">
        <v>111</v>
      </c>
      <c r="P35" t="s">
        <v>83</v>
      </c>
      <c r="Q35" t="s">
        <v>114</v>
      </c>
      <c r="R35" t="s">
        <v>115</v>
      </c>
      <c r="S35">
        <v>0</v>
      </c>
      <c r="T35">
        <v>14</v>
      </c>
    </row>
    <row r="36" spans="1:20" x14ac:dyDescent="0.4">
      <c r="A36" t="s">
        <v>663</v>
      </c>
      <c r="B36">
        <v>6</v>
      </c>
      <c r="C36" t="s">
        <v>53</v>
      </c>
      <c r="D36">
        <v>1</v>
      </c>
      <c r="E36">
        <v>1</v>
      </c>
      <c r="F36">
        <v>1</v>
      </c>
      <c r="G36" t="s">
        <v>54</v>
      </c>
      <c r="H36" t="s">
        <v>83</v>
      </c>
      <c r="I36" t="s">
        <v>105</v>
      </c>
      <c r="J36" t="s">
        <v>98</v>
      </c>
      <c r="K36" t="s">
        <v>38</v>
      </c>
      <c r="L36">
        <v>2</v>
      </c>
      <c r="M36">
        <v>1</v>
      </c>
      <c r="N36">
        <v>1</v>
      </c>
      <c r="O36" t="s">
        <v>152</v>
      </c>
      <c r="P36" t="s">
        <v>96</v>
      </c>
      <c r="Q36" t="s">
        <v>154</v>
      </c>
      <c r="R36" t="s">
        <v>155</v>
      </c>
      <c r="S36">
        <v>0</v>
      </c>
      <c r="T36">
        <v>10</v>
      </c>
    </row>
    <row r="37" spans="1:20" x14ac:dyDescent="0.4">
      <c r="A37" t="s">
        <v>664</v>
      </c>
      <c r="B37">
        <v>7</v>
      </c>
      <c r="C37" t="s">
        <v>56</v>
      </c>
      <c r="D37">
        <v>1</v>
      </c>
      <c r="F37">
        <v>1</v>
      </c>
      <c r="G37" t="s">
        <v>120</v>
      </c>
      <c r="H37" t="s">
        <v>69</v>
      </c>
      <c r="I37" t="s">
        <v>87</v>
      </c>
      <c r="J37" t="s">
        <v>125</v>
      </c>
      <c r="K37" t="s">
        <v>48</v>
      </c>
      <c r="L37">
        <v>1</v>
      </c>
      <c r="N37">
        <v>1</v>
      </c>
      <c r="O37" t="s">
        <v>49</v>
      </c>
      <c r="P37" t="s">
        <v>50</v>
      </c>
      <c r="Q37" t="s">
        <v>127</v>
      </c>
      <c r="R37" t="s">
        <v>52</v>
      </c>
      <c r="S37">
        <v>0</v>
      </c>
      <c r="T37">
        <v>8</v>
      </c>
    </row>
    <row r="38" spans="1:20" x14ac:dyDescent="0.4">
      <c r="A38" t="s">
        <v>665</v>
      </c>
      <c r="B38">
        <v>8</v>
      </c>
      <c r="C38" t="s">
        <v>56</v>
      </c>
      <c r="D38">
        <v>3</v>
      </c>
      <c r="F38">
        <v>2</v>
      </c>
      <c r="G38" t="s">
        <v>120</v>
      </c>
      <c r="K38" t="s">
        <v>33</v>
      </c>
      <c r="L38">
        <v>1</v>
      </c>
      <c r="N38">
        <v>3</v>
      </c>
      <c r="O38" t="s">
        <v>46</v>
      </c>
      <c r="P38" t="s">
        <v>35</v>
      </c>
      <c r="S38">
        <v>0</v>
      </c>
      <c r="T38">
        <v>8</v>
      </c>
    </row>
    <row r="39" spans="1:20" x14ac:dyDescent="0.4">
      <c r="A39" t="s">
        <v>666</v>
      </c>
      <c r="B39">
        <v>9</v>
      </c>
      <c r="C39" t="s">
        <v>43</v>
      </c>
      <c r="D39">
        <v>2</v>
      </c>
      <c r="F39">
        <v>1</v>
      </c>
      <c r="G39" t="s">
        <v>135</v>
      </c>
      <c r="H39" t="s">
        <v>99</v>
      </c>
      <c r="I39" t="s">
        <v>137</v>
      </c>
      <c r="J39" t="s">
        <v>101</v>
      </c>
      <c r="K39" t="s">
        <v>56</v>
      </c>
      <c r="L39">
        <v>1</v>
      </c>
      <c r="N39">
        <v>2</v>
      </c>
      <c r="O39" t="s">
        <v>120</v>
      </c>
      <c r="P39" t="s">
        <v>122</v>
      </c>
      <c r="S39">
        <v>0</v>
      </c>
      <c r="T39">
        <v>9</v>
      </c>
    </row>
    <row r="40" spans="1:20" x14ac:dyDescent="0.4">
      <c r="A40" t="s">
        <v>667</v>
      </c>
      <c r="B40">
        <v>10</v>
      </c>
      <c r="C40" t="s">
        <v>45</v>
      </c>
      <c r="D40">
        <v>3</v>
      </c>
      <c r="F40">
        <v>1</v>
      </c>
      <c r="G40" t="s">
        <v>140</v>
      </c>
      <c r="H40" t="s">
        <v>76</v>
      </c>
      <c r="K40" t="s">
        <v>56</v>
      </c>
      <c r="L40">
        <v>3</v>
      </c>
      <c r="N40">
        <v>1</v>
      </c>
      <c r="O40" t="s">
        <v>120</v>
      </c>
      <c r="S40">
        <v>0</v>
      </c>
      <c r="T40">
        <v>7</v>
      </c>
    </row>
    <row r="41" spans="1:20" x14ac:dyDescent="0.4">
      <c r="A41" t="s">
        <v>668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4">
      <c r="A42" t="s">
        <v>669</v>
      </c>
      <c r="B42">
        <v>12</v>
      </c>
      <c r="C42" t="s">
        <v>56</v>
      </c>
      <c r="D42">
        <v>2</v>
      </c>
      <c r="F42">
        <v>1</v>
      </c>
      <c r="G42" t="s">
        <v>57</v>
      </c>
      <c r="H42" t="s">
        <v>121</v>
      </c>
      <c r="K42" t="s">
        <v>38</v>
      </c>
      <c r="L42">
        <v>1</v>
      </c>
      <c r="M42">
        <v>2</v>
      </c>
      <c r="N42">
        <v>1</v>
      </c>
      <c r="O42" t="s">
        <v>152</v>
      </c>
      <c r="P42" t="s">
        <v>96</v>
      </c>
      <c r="S42">
        <v>0</v>
      </c>
      <c r="T42">
        <v>6</v>
      </c>
    </row>
    <row r="43" spans="1:20" x14ac:dyDescent="0.4">
      <c r="A43" t="s">
        <v>670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71</v>
      </c>
      <c r="K43" t="s">
        <v>33</v>
      </c>
      <c r="L43">
        <v>3</v>
      </c>
      <c r="N43">
        <v>1</v>
      </c>
      <c r="O43" t="s">
        <v>34</v>
      </c>
      <c r="S43">
        <v>0</v>
      </c>
      <c r="T43">
        <v>6</v>
      </c>
    </row>
    <row r="44" spans="1:20" x14ac:dyDescent="0.4">
      <c r="A44" t="s">
        <v>671</v>
      </c>
      <c r="B44">
        <v>14</v>
      </c>
      <c r="C44" t="s">
        <v>43</v>
      </c>
      <c r="D44">
        <v>2</v>
      </c>
      <c r="F44">
        <v>1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2</v>
      </c>
      <c r="N44">
        <v>1</v>
      </c>
      <c r="O44" t="s">
        <v>126</v>
      </c>
      <c r="P44" t="s">
        <v>71</v>
      </c>
      <c r="Q44" t="s">
        <v>127</v>
      </c>
      <c r="S44">
        <v>0</v>
      </c>
      <c r="T44">
        <v>9</v>
      </c>
    </row>
    <row r="45" spans="1:20" x14ac:dyDescent="0.4">
      <c r="A45" t="s">
        <v>672</v>
      </c>
      <c r="B45">
        <v>15</v>
      </c>
      <c r="C45" t="s">
        <v>48</v>
      </c>
      <c r="D45">
        <v>1</v>
      </c>
      <c r="F45">
        <v>3</v>
      </c>
      <c r="G45" t="s">
        <v>126</v>
      </c>
      <c r="H45" t="s">
        <v>71</v>
      </c>
      <c r="I45" t="s">
        <v>90</v>
      </c>
      <c r="K45" t="s">
        <v>45</v>
      </c>
      <c r="L45">
        <v>3</v>
      </c>
      <c r="N45">
        <v>1</v>
      </c>
      <c r="O45" t="s">
        <v>47</v>
      </c>
      <c r="P45" t="s">
        <v>76</v>
      </c>
      <c r="Q45" t="s">
        <v>93</v>
      </c>
      <c r="S45">
        <v>0</v>
      </c>
      <c r="T45">
        <v>10</v>
      </c>
    </row>
    <row r="46" spans="1:20" x14ac:dyDescent="0.4">
      <c r="A46" t="s">
        <v>673</v>
      </c>
      <c r="B46">
        <v>16</v>
      </c>
      <c r="C46" t="s">
        <v>63</v>
      </c>
      <c r="D46">
        <v>2</v>
      </c>
      <c r="F46">
        <v>1</v>
      </c>
      <c r="G46" t="s">
        <v>72</v>
      </c>
      <c r="H46" t="s">
        <v>146</v>
      </c>
      <c r="I46" t="s">
        <v>148</v>
      </c>
      <c r="J46" t="s">
        <v>149</v>
      </c>
      <c r="K46" t="s">
        <v>48</v>
      </c>
      <c r="L46">
        <v>2</v>
      </c>
      <c r="N46">
        <v>1</v>
      </c>
      <c r="O46" t="s">
        <v>89</v>
      </c>
      <c r="P46" t="s">
        <v>71</v>
      </c>
      <c r="Q46" t="s">
        <v>90</v>
      </c>
      <c r="R46" t="s">
        <v>52</v>
      </c>
      <c r="S46">
        <v>0</v>
      </c>
      <c r="T46">
        <v>12</v>
      </c>
    </row>
    <row r="47" spans="1:20" x14ac:dyDescent="0.4">
      <c r="A47" t="s">
        <v>674</v>
      </c>
      <c r="B47">
        <v>17</v>
      </c>
      <c r="C47" t="s">
        <v>38</v>
      </c>
      <c r="D47">
        <v>3</v>
      </c>
      <c r="E47">
        <v>1</v>
      </c>
      <c r="F47">
        <v>1</v>
      </c>
      <c r="G47" t="s">
        <v>67</v>
      </c>
      <c r="H47" t="s">
        <v>96</v>
      </c>
      <c r="K47" t="s">
        <v>48</v>
      </c>
      <c r="L47">
        <v>1</v>
      </c>
      <c r="N47">
        <v>1</v>
      </c>
      <c r="O47" t="s">
        <v>89</v>
      </c>
      <c r="P47" t="s">
        <v>50</v>
      </c>
      <c r="Q47" t="s">
        <v>51</v>
      </c>
      <c r="S47">
        <v>0</v>
      </c>
      <c r="T47">
        <v>7</v>
      </c>
    </row>
    <row r="48" spans="1:20" x14ac:dyDescent="0.4">
      <c r="A48" t="s">
        <v>675</v>
      </c>
      <c r="B48">
        <v>18</v>
      </c>
      <c r="C48" t="s">
        <v>43</v>
      </c>
      <c r="D48">
        <v>2</v>
      </c>
      <c r="F48">
        <v>1</v>
      </c>
      <c r="G48" t="s">
        <v>44</v>
      </c>
      <c r="K48" t="s">
        <v>33</v>
      </c>
      <c r="L48">
        <v>1</v>
      </c>
      <c r="N48">
        <v>1</v>
      </c>
      <c r="O48" t="s">
        <v>34</v>
      </c>
      <c r="S48">
        <v>0</v>
      </c>
      <c r="T48">
        <v>3</v>
      </c>
    </row>
    <row r="49" spans="1:20" x14ac:dyDescent="0.4">
      <c r="A49" t="s">
        <v>676</v>
      </c>
      <c r="B49">
        <v>19</v>
      </c>
      <c r="C49" t="s">
        <v>45</v>
      </c>
      <c r="D49">
        <v>2</v>
      </c>
      <c r="F49">
        <v>1</v>
      </c>
      <c r="G49" t="s">
        <v>140</v>
      </c>
      <c r="K49" t="s">
        <v>33</v>
      </c>
      <c r="L49">
        <v>1</v>
      </c>
      <c r="N49">
        <v>2</v>
      </c>
      <c r="O49" t="s">
        <v>34</v>
      </c>
      <c r="S49">
        <v>0</v>
      </c>
      <c r="T49">
        <v>5</v>
      </c>
    </row>
    <row r="50" spans="1:20" x14ac:dyDescent="0.4">
      <c r="A50" t="s">
        <v>677</v>
      </c>
      <c r="B50">
        <v>20</v>
      </c>
      <c r="C50" t="s">
        <v>33</v>
      </c>
      <c r="D50">
        <v>2</v>
      </c>
      <c r="F50">
        <v>1</v>
      </c>
      <c r="G50" t="s">
        <v>34</v>
      </c>
      <c r="H50" t="s">
        <v>35</v>
      </c>
      <c r="K50" t="s">
        <v>63</v>
      </c>
      <c r="L50">
        <v>3</v>
      </c>
      <c r="N50">
        <v>1</v>
      </c>
      <c r="O50" t="s">
        <v>72</v>
      </c>
      <c r="S50">
        <v>0</v>
      </c>
      <c r="T50">
        <v>7</v>
      </c>
    </row>
    <row r="51" spans="1:20" x14ac:dyDescent="0.4">
      <c r="A51" t="s">
        <v>678</v>
      </c>
      <c r="B51">
        <v>21</v>
      </c>
      <c r="C51" t="s">
        <v>33</v>
      </c>
      <c r="D51">
        <v>3</v>
      </c>
      <c r="F51">
        <v>3</v>
      </c>
      <c r="G51" t="s">
        <v>46</v>
      </c>
      <c r="H51" t="s">
        <v>35</v>
      </c>
      <c r="I51" t="s">
        <v>131</v>
      </c>
      <c r="J51" t="s">
        <v>133</v>
      </c>
      <c r="K51" t="s">
        <v>38</v>
      </c>
      <c r="L51">
        <v>3</v>
      </c>
      <c r="M51">
        <v>1</v>
      </c>
      <c r="N51">
        <v>3</v>
      </c>
      <c r="O51" t="s">
        <v>67</v>
      </c>
      <c r="P51" t="s">
        <v>96</v>
      </c>
      <c r="Q51" t="s">
        <v>153</v>
      </c>
      <c r="R51" t="s">
        <v>156</v>
      </c>
      <c r="S51">
        <v>0</v>
      </c>
      <c r="T51">
        <v>16</v>
      </c>
    </row>
    <row r="52" spans="1:20" x14ac:dyDescent="0.4">
      <c r="A52" t="s">
        <v>679</v>
      </c>
      <c r="B52">
        <v>22</v>
      </c>
      <c r="C52" t="s">
        <v>45</v>
      </c>
      <c r="D52">
        <v>3</v>
      </c>
      <c r="F52">
        <v>2</v>
      </c>
      <c r="G52" t="s">
        <v>140</v>
      </c>
      <c r="H52" t="s">
        <v>92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137</v>
      </c>
      <c r="R52" t="s">
        <v>138</v>
      </c>
      <c r="S52">
        <v>0</v>
      </c>
      <c r="T52">
        <v>9</v>
      </c>
    </row>
    <row r="53" spans="1:20" x14ac:dyDescent="0.4">
      <c r="A53" t="s">
        <v>680</v>
      </c>
      <c r="B53">
        <v>23</v>
      </c>
      <c r="C53" t="s">
        <v>63</v>
      </c>
      <c r="D53">
        <v>1</v>
      </c>
      <c r="F53">
        <v>1</v>
      </c>
      <c r="G53" t="s">
        <v>145</v>
      </c>
      <c r="H53" t="s">
        <v>146</v>
      </c>
      <c r="I53" t="s">
        <v>104</v>
      </c>
      <c r="K53" t="s">
        <v>43</v>
      </c>
      <c r="L53">
        <v>2</v>
      </c>
      <c r="N53">
        <v>1</v>
      </c>
      <c r="O53" t="s">
        <v>135</v>
      </c>
      <c r="P53" t="s">
        <v>99</v>
      </c>
      <c r="Q53" t="s">
        <v>137</v>
      </c>
      <c r="R53" t="s">
        <v>139</v>
      </c>
      <c r="S53">
        <v>0</v>
      </c>
      <c r="T53">
        <v>10</v>
      </c>
    </row>
    <row r="54" spans="1:20" x14ac:dyDescent="0.4">
      <c r="A54" t="s">
        <v>681</v>
      </c>
      <c r="B54">
        <v>24</v>
      </c>
      <c r="C54" t="s">
        <v>43</v>
      </c>
      <c r="D54">
        <v>2</v>
      </c>
      <c r="F54">
        <v>1</v>
      </c>
      <c r="G54" t="s">
        <v>135</v>
      </c>
      <c r="H54" t="s">
        <v>136</v>
      </c>
      <c r="I54" t="s">
        <v>137</v>
      </c>
      <c r="J54" t="s">
        <v>138</v>
      </c>
      <c r="K54" t="s">
        <v>38</v>
      </c>
      <c r="L54">
        <v>1</v>
      </c>
      <c r="M54">
        <v>2</v>
      </c>
      <c r="N54">
        <v>2</v>
      </c>
      <c r="O54" t="s">
        <v>67</v>
      </c>
      <c r="P54" t="s">
        <v>96</v>
      </c>
      <c r="Q54" t="s">
        <v>154</v>
      </c>
      <c r="S54">
        <v>0</v>
      </c>
      <c r="T54">
        <v>10</v>
      </c>
    </row>
    <row r="55" spans="1:20" x14ac:dyDescent="0.4">
      <c r="A55" t="s">
        <v>682</v>
      </c>
      <c r="B55">
        <v>25</v>
      </c>
      <c r="C55" t="s">
        <v>45</v>
      </c>
      <c r="D55">
        <v>3</v>
      </c>
      <c r="F55">
        <v>1</v>
      </c>
      <c r="G55" t="s">
        <v>86</v>
      </c>
      <c r="H55" t="s">
        <v>141</v>
      </c>
      <c r="I55" t="s">
        <v>93</v>
      </c>
      <c r="K55" t="s">
        <v>63</v>
      </c>
      <c r="L55">
        <v>1</v>
      </c>
      <c r="N55">
        <v>2</v>
      </c>
      <c r="O55" t="s">
        <v>72</v>
      </c>
      <c r="P55" t="s">
        <v>146</v>
      </c>
      <c r="Q55" t="s">
        <v>104</v>
      </c>
      <c r="S55">
        <v>0</v>
      </c>
      <c r="T55">
        <v>9</v>
      </c>
    </row>
    <row r="56" spans="1:20" x14ac:dyDescent="0.4">
      <c r="A56" t="s">
        <v>683</v>
      </c>
      <c r="B56">
        <v>26</v>
      </c>
      <c r="C56" t="s">
        <v>38</v>
      </c>
      <c r="D56">
        <v>2</v>
      </c>
      <c r="E56">
        <v>2</v>
      </c>
      <c r="F56">
        <v>2</v>
      </c>
      <c r="G56" t="s">
        <v>67</v>
      </c>
      <c r="H56" t="s">
        <v>96</v>
      </c>
      <c r="I56" t="s">
        <v>153</v>
      </c>
      <c r="J56" t="s">
        <v>156</v>
      </c>
      <c r="K56" t="s">
        <v>45</v>
      </c>
      <c r="L56">
        <v>3</v>
      </c>
      <c r="N56">
        <v>2</v>
      </c>
      <c r="O56" t="s">
        <v>140</v>
      </c>
      <c r="P56" t="s">
        <v>76</v>
      </c>
      <c r="Q56" t="s">
        <v>102</v>
      </c>
      <c r="S56">
        <v>0</v>
      </c>
      <c r="T56">
        <v>13</v>
      </c>
    </row>
    <row r="57" spans="1:20" x14ac:dyDescent="0.4">
      <c r="A57" t="s">
        <v>684</v>
      </c>
      <c r="B57">
        <v>27</v>
      </c>
      <c r="C57" t="s">
        <v>38</v>
      </c>
      <c r="D57">
        <v>3</v>
      </c>
      <c r="E57">
        <v>1</v>
      </c>
      <c r="F57">
        <v>1</v>
      </c>
      <c r="G57" t="s">
        <v>67</v>
      </c>
      <c r="H57" t="s">
        <v>96</v>
      </c>
      <c r="I57" t="s">
        <v>154</v>
      </c>
      <c r="K57" t="s">
        <v>63</v>
      </c>
      <c r="L57">
        <v>1</v>
      </c>
      <c r="N57">
        <v>1</v>
      </c>
      <c r="O57" t="s">
        <v>103</v>
      </c>
      <c r="P57" t="s">
        <v>95</v>
      </c>
      <c r="Q57" t="s">
        <v>147</v>
      </c>
      <c r="R57" t="s">
        <v>151</v>
      </c>
      <c r="S57">
        <v>0</v>
      </c>
      <c r="T57">
        <v>9</v>
      </c>
    </row>
  </sheetData>
  <phoneticPr fontId="3" type="noConversion"/>
  <conditionalFormatting sqref="B1:B1048576">
    <cfRule type="duplicateValues" dxfId="39" priority="2"/>
  </conditionalFormatting>
  <conditionalFormatting sqref="A2:B57">
    <cfRule type="duplicateValues" dxfId="38" priority="6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K13" sqref="K13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8.765625" bestFit="1" customWidth="1"/>
    <col min="7" max="7" width="10.3828125" bestFit="1" customWidth="1"/>
    <col min="8" max="8" width="8.765625" bestFit="1" customWidth="1"/>
    <col min="9" max="9" width="6.84375" bestFit="1" customWidth="1"/>
    <col min="10" max="10" width="10.07421875" bestFit="1" customWidth="1"/>
    <col min="12" max="12" width="25.15234375" bestFit="1" customWidth="1"/>
    <col min="13" max="13" width="4.3828125" bestFit="1" customWidth="1"/>
    <col min="15" max="15" width="9.3046875" bestFit="1" customWidth="1"/>
  </cols>
  <sheetData>
    <row r="1" spans="1:13" ht="15" thickBot="1" x14ac:dyDescent="0.45">
      <c r="A1" s="41" t="s">
        <v>78</v>
      </c>
      <c r="B1" s="42"/>
      <c r="C1" s="42"/>
      <c r="D1" s="42"/>
      <c r="E1" s="43"/>
      <c r="G1" s="41" t="s">
        <v>82</v>
      </c>
      <c r="H1" s="42"/>
      <c r="I1" s="42"/>
      <c r="J1" s="43"/>
      <c r="L1" s="5" t="s">
        <v>157</v>
      </c>
      <c r="M1" s="36">
        <f>MIN(Scenario2[crystals])</f>
        <v>0</v>
      </c>
    </row>
    <row r="2" spans="1:13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5" t="s">
        <v>107</v>
      </c>
      <c r="M2" s="36">
        <f>AVERAGE(Scenario2[crystals])</f>
        <v>0</v>
      </c>
    </row>
    <row r="3" spans="1:13" ht="15" thickBot="1" x14ac:dyDescent="0.45">
      <c r="A3" t="s">
        <v>53</v>
      </c>
      <c r="B3">
        <f>COUNTIFS(Scenario2[winner1],ScenarioStat2[[#This Row],[hero-1]],Scenario2[loser1],ScenarioStat2[[#This Row],[hero-2]])</f>
        <v>2</v>
      </c>
      <c r="C3" t="s">
        <v>56</v>
      </c>
      <c r="D3">
        <f>COUNTIFS(Scenario2[winner1],ScenarioStat2[[#This Row],[hero-2]],Scenario2[loser1],ScenarioStat2[[#This Row],[hero-1]])</f>
        <v>0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11</v>
      </c>
      <c r="J3" s="3">
        <f>IF(ScenarioTeams2[[#This Row],[battles]],ScenarioTeams2[[#This Row],[wins]]/ScenarioTeams2[[#This Row],[battles]],0)</f>
        <v>0.7857142857142857</v>
      </c>
      <c r="K3" s="3"/>
      <c r="L3" s="5" t="s">
        <v>159</v>
      </c>
      <c r="M3" s="36">
        <f>MAX(Scenario2[crystals])</f>
        <v>0</v>
      </c>
    </row>
    <row r="4" spans="1:13" ht="15" thickBot="1" x14ac:dyDescent="0.45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 s="17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5</v>
      </c>
      <c r="J4" s="3">
        <f>IF(ScenarioTeams2[[#This Row],[battles]],ScenarioTeams2[[#This Row],[wins]]/ScenarioTeams2[[#This Row],[battles]],0)</f>
        <v>0.35714285714285715</v>
      </c>
      <c r="K4" s="3"/>
      <c r="M4" s="8"/>
    </row>
    <row r="5" spans="1:13" ht="15" thickBot="1" x14ac:dyDescent="0.45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 s="17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6</v>
      </c>
      <c r="J5" s="3">
        <f>IF(ScenarioTeams2[[#This Row],[battles]],ScenarioTeams2[[#This Row],[wins]]/ScenarioTeams2[[#This Row],[battles]],0)</f>
        <v>0.42857142857142855</v>
      </c>
      <c r="K5" s="3"/>
      <c r="L5" s="5" t="s">
        <v>158</v>
      </c>
      <c r="M5" s="36">
        <f>MIN(Scenario2[turns])</f>
        <v>3</v>
      </c>
    </row>
    <row r="6" spans="1:13" ht="15" thickBot="1" x14ac:dyDescent="0.45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 s="17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5</v>
      </c>
      <c r="J6" s="3">
        <f>IF(ScenarioTeams2[[#This Row],[battles]],ScenarioTeams2[[#This Row],[wins]]/ScenarioTeams2[[#This Row],[battles]],0)</f>
        <v>0.35714285714285715</v>
      </c>
      <c r="K6" s="3"/>
      <c r="L6" s="6" t="s">
        <v>108</v>
      </c>
      <c r="M6" s="37">
        <f>AVERAGE(Scenario2[turns])</f>
        <v>11.267857142857142</v>
      </c>
    </row>
    <row r="7" spans="1:13" ht="15" thickBot="1" x14ac:dyDescent="0.45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 s="1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8</v>
      </c>
      <c r="J7" s="3">
        <f>IF(ScenarioTeams2[[#This Row],[battles]],ScenarioTeams2[[#This Row],[wins]]/ScenarioTeams2[[#This Row],[battles]],0)</f>
        <v>0.5714285714285714</v>
      </c>
      <c r="K7" s="3"/>
      <c r="L7" s="6" t="s">
        <v>160</v>
      </c>
      <c r="M7" s="37">
        <f>MAX(Scenario2[turns])</f>
        <v>41</v>
      </c>
    </row>
    <row r="8" spans="1:13" ht="15" thickBot="1" x14ac:dyDescent="0.45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1</v>
      </c>
      <c r="E8" s="17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7</v>
      </c>
      <c r="J8" s="3">
        <f>IF(ScenarioTeams2[[#This Row],[battles]],ScenarioTeams2[[#This Row],[wins]]/ScenarioTeams2[[#This Row],[battles]],0)</f>
        <v>0.5</v>
      </c>
      <c r="K8" s="3"/>
    </row>
    <row r="9" spans="1:13" ht="15" thickBot="1" x14ac:dyDescent="0.45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 s="17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8</v>
      </c>
      <c r="J9" s="3">
        <f>IF(ScenarioTeams2[[#This Row],[battles]],ScenarioTeams2[[#This Row],[wins]]/ScenarioTeams2[[#This Row],[battles]],0)</f>
        <v>0.5714285714285714</v>
      </c>
      <c r="K9" s="3"/>
      <c r="L9" s="35" t="s">
        <v>395</v>
      </c>
      <c r="M9" s="36">
        <f>120000*$M$6/1000/60</f>
        <v>22.535714285714285</v>
      </c>
    </row>
    <row r="10" spans="1:13" ht="15" thickBot="1" x14ac:dyDescent="0.45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 s="17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34" t="s">
        <v>396</v>
      </c>
      <c r="M10" s="7">
        <f>M9*COUNTA(ScenarioStat2[hero-1])/60/24*2</f>
        <v>0.87638888888888899</v>
      </c>
    </row>
    <row r="11" spans="1:13" x14ac:dyDescent="0.4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 s="17">
        <f>ScenarioStat2[[#This Row],[team-1-win]]+ScenarioStat2[[#This Row],[team-2-win]]</f>
        <v>2</v>
      </c>
    </row>
    <row r="12" spans="1:13" x14ac:dyDescent="0.4">
      <c r="A12" t="s">
        <v>56</v>
      </c>
      <c r="B12">
        <f>COUNTIFS(Scenario2[winner1],ScenarioStat2[[#This Row],[hero-1]],Scenario2[loser1],ScenarioStat2[[#This Row],[hero-2]])</f>
        <v>0</v>
      </c>
      <c r="C12" t="s">
        <v>43</v>
      </c>
      <c r="D12">
        <f>COUNTIFS(Scenario2[winner1],ScenarioStat2[[#This Row],[hero-2]],Scenario2[loser1],ScenarioStat2[[#This Row],[hero-1]])</f>
        <v>2</v>
      </c>
      <c r="E12" s="17">
        <f>ScenarioStat2[[#This Row],[team-1-win]]+ScenarioStat2[[#This Row],[team-2-win]]</f>
        <v>2</v>
      </c>
    </row>
    <row r="13" spans="1:13" x14ac:dyDescent="0.4">
      <c r="A13" t="s">
        <v>56</v>
      </c>
      <c r="B13">
        <f>COUNTIFS(Scenario2[winner1],ScenarioStat2[[#This Row],[hero-1]],Scenario2[loser1],ScenarioStat2[[#This Row],[hero-2]])</f>
        <v>0</v>
      </c>
      <c r="C13" t="s">
        <v>45</v>
      </c>
      <c r="D13">
        <f>COUNTIFS(Scenario2[winner1],ScenarioStat2[[#This Row],[hero-2]],Scenario2[loser1],ScenarioStat2[[#This Row],[hero-1]])</f>
        <v>2</v>
      </c>
      <c r="E13" s="17">
        <f>ScenarioStat2[[#This Row],[team-1-win]]+ScenarioStat2[[#This Row],[team-2-win]]</f>
        <v>2</v>
      </c>
    </row>
    <row r="14" spans="1:13" x14ac:dyDescent="0.4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 s="17">
        <f>ScenarioStat2[[#This Row],[team-1-win]]+ScenarioStat2[[#This Row],[team-2-win]]</f>
        <v>2</v>
      </c>
    </row>
    <row r="15" spans="1:13" x14ac:dyDescent="0.4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 s="17">
        <f>ScenarioStat2[[#This Row],[team-1-win]]+ScenarioStat2[[#This Row],[team-2-win]]</f>
        <v>2</v>
      </c>
    </row>
    <row r="16" spans="1:13" x14ac:dyDescent="0.4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0</v>
      </c>
      <c r="E16" s="17">
        <f>ScenarioStat2[[#This Row],[team-1-win]]+ScenarioStat2[[#This Row],[team-2-win]]</f>
        <v>2</v>
      </c>
    </row>
    <row r="17" spans="1:5" x14ac:dyDescent="0.4">
      <c r="A17" t="s">
        <v>48</v>
      </c>
      <c r="B17">
        <f>COUNTIFS(Scenario2[winner1],ScenarioStat2[[#This Row],[hero-1]],Scenario2[loser1],ScenarioStat2[[#This Row],[hero-2]])</f>
        <v>1</v>
      </c>
      <c r="C17" t="s">
        <v>43</v>
      </c>
      <c r="D17">
        <f>COUNTIFS(Scenario2[winner1],ScenarioStat2[[#This Row],[hero-2]],Scenario2[loser1],ScenarioStat2[[#This Row],[hero-1]])</f>
        <v>1</v>
      </c>
      <c r="E17" s="17">
        <f>ScenarioStat2[[#This Row],[team-1-win]]+ScenarioStat2[[#This Row],[team-2-win]]</f>
        <v>2</v>
      </c>
    </row>
    <row r="18" spans="1:5" x14ac:dyDescent="0.4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 s="17">
        <f>ScenarioStat2[[#This Row],[team-1-win]]+ScenarioStat2[[#This Row],[team-2-win]]</f>
        <v>2</v>
      </c>
    </row>
    <row r="19" spans="1:5" x14ac:dyDescent="0.4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 s="17">
        <f>ScenarioStat2[[#This Row],[team-1-win]]+ScenarioStat2[[#This Row],[team-2-win]]</f>
        <v>2</v>
      </c>
    </row>
    <row r="20" spans="1:5" x14ac:dyDescent="0.4">
      <c r="A20" t="s">
        <v>48</v>
      </c>
      <c r="B20">
        <f>COUNTIFS(Scenario2[winner1],ScenarioStat2[[#This Row],[hero-1]],Scenario2[loser1],ScenarioStat2[[#This Row],[hero-2]])</f>
        <v>1</v>
      </c>
      <c r="C20" t="s">
        <v>38</v>
      </c>
      <c r="D20">
        <f>COUNTIFS(Scenario2[winner1],ScenarioStat2[[#This Row],[hero-2]],Scenario2[loser1],ScenarioStat2[[#This Row],[hero-1]])</f>
        <v>1</v>
      </c>
      <c r="E20" s="17">
        <f>ScenarioStat2[[#This Row],[team-1-win]]+ScenarioStat2[[#This Row],[team-2-win]]</f>
        <v>2</v>
      </c>
    </row>
    <row r="21" spans="1:5" x14ac:dyDescent="0.4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 s="17">
        <f>ScenarioStat2[[#This Row],[team-1-win]]+ScenarioStat2[[#This Row],[team-2-win]]</f>
        <v>2</v>
      </c>
    </row>
    <row r="22" spans="1:5" x14ac:dyDescent="0.4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 s="17">
        <f>ScenarioStat2[[#This Row],[team-1-win]]+ScenarioStat2[[#This Row],[team-2-win]]</f>
        <v>2</v>
      </c>
    </row>
    <row r="23" spans="1:5" x14ac:dyDescent="0.4">
      <c r="A23" t="s">
        <v>33</v>
      </c>
      <c r="B23">
        <f>COUNTIFS(Scenario2[winner1],ScenarioStat2[[#This Row],[hero-1]],Scenario2[loser1],ScenarioStat2[[#This Row],[hero-2]])</f>
        <v>1</v>
      </c>
      <c r="C23" t="s">
        <v>63</v>
      </c>
      <c r="D23">
        <f>COUNTIFS(Scenario2[winner1],ScenarioStat2[[#This Row],[hero-2]],Scenario2[loser1],ScenarioStat2[[#This Row],[hero-1]])</f>
        <v>1</v>
      </c>
      <c r="E23" s="17">
        <f>ScenarioStat2[[#This Row],[team-1-win]]+ScenarioStat2[[#This Row],[team-2-win]]</f>
        <v>2</v>
      </c>
    </row>
    <row r="24" spans="1:5" x14ac:dyDescent="0.4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 s="17">
        <f>ScenarioStat2[[#This Row],[team-1-win]]+ScenarioStat2[[#This Row],[team-2-win]]</f>
        <v>2</v>
      </c>
    </row>
    <row r="25" spans="1:5" x14ac:dyDescent="0.4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 s="17">
        <f>ScenarioStat2[[#This Row],[team-1-win]]+ScenarioStat2[[#This Row],[team-2-win]]</f>
        <v>2</v>
      </c>
    </row>
    <row r="26" spans="1:5" x14ac:dyDescent="0.4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 s="17">
        <f>ScenarioStat2[[#This Row],[team-1-win]]+ScenarioStat2[[#This Row],[team-2-win]]</f>
        <v>2</v>
      </c>
    </row>
    <row r="27" spans="1:5" x14ac:dyDescent="0.4">
      <c r="A27" t="s">
        <v>43</v>
      </c>
      <c r="B27">
        <f>COUNTIFS(Scenario2[winner1],ScenarioStat2[[#This Row],[hero-1]],Scenario2[loser1],ScenarioStat2[[#This Row],[hero-2]])</f>
        <v>2</v>
      </c>
      <c r="C27" t="s">
        <v>38</v>
      </c>
      <c r="D27">
        <f>COUNTIFS(Scenario2[winner1],ScenarioStat2[[#This Row],[hero-2]],Scenario2[loser1],ScenarioStat2[[#This Row],[hero-1]])</f>
        <v>0</v>
      </c>
      <c r="E27" s="17">
        <f>ScenarioStat2[[#This Row],[team-1-win]]+ScenarioStat2[[#This Row],[team-2-win]]</f>
        <v>2</v>
      </c>
    </row>
    <row r="28" spans="1:5" x14ac:dyDescent="0.4">
      <c r="A28" t="s">
        <v>45</v>
      </c>
      <c r="B28">
        <f>COUNTIFS(Scenario2[winner1],ScenarioStat2[[#This Row],[hero-1]],Scenario2[loser1],ScenarioStat2[[#This Row],[hero-2]])</f>
        <v>1</v>
      </c>
      <c r="C28" t="s">
        <v>63</v>
      </c>
      <c r="D28">
        <f>COUNTIFS(Scenario2[winner1],ScenarioStat2[[#This Row],[hero-2]],Scenario2[loser1],ScenarioStat2[[#This Row],[hero-1]])</f>
        <v>1</v>
      </c>
      <c r="E28" s="17">
        <f>ScenarioStat2[[#This Row],[team-1-win]]+ScenarioStat2[[#This Row],[team-2-win]]</f>
        <v>2</v>
      </c>
    </row>
    <row r="29" spans="1:5" x14ac:dyDescent="0.4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 s="17">
        <f>ScenarioStat2[[#This Row],[team-1-win]]+ScenarioStat2[[#This Row],[team-2-win]]</f>
        <v>2</v>
      </c>
    </row>
    <row r="30" spans="1:5" x14ac:dyDescent="0.4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1</v>
      </c>
      <c r="E30" s="17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E16" sqref="AE16"/>
    </sheetView>
  </sheetViews>
  <sheetFormatPr defaultRowHeight="14.6" x14ac:dyDescent="0.4"/>
  <cols>
    <col min="1" max="1" width="34.69140625" bestFit="1" customWidth="1"/>
    <col min="2" max="2" width="7.69140625" bestFit="1" customWidth="1"/>
    <col min="3" max="3" width="9.84375" bestFit="1" customWidth="1"/>
    <col min="4" max="4" width="13" hidden="1" customWidth="1"/>
    <col min="5" max="5" width="12.69140625" hidden="1" customWidth="1"/>
    <col min="6" max="6" width="12.3828125" hidden="1" customWidth="1"/>
    <col min="7" max="7" width="21.1523437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2.15234375" hidden="1" customWidth="1"/>
    <col min="13" max="13" width="11.84375" hidden="1" customWidth="1"/>
    <col min="14" max="14" width="11.3828125" hidden="1" customWidth="1"/>
    <col min="15" max="15" width="18.3828125" hidden="1" customWidth="1"/>
    <col min="16" max="16" width="18.69140625" hidden="1" customWidth="1"/>
    <col min="17" max="17" width="20.69140625" hidden="1" customWidth="1"/>
    <col min="18" max="18" width="17.3046875" hidden="1" customWidth="1"/>
    <col min="19" max="19" width="17.3046875" customWidth="1"/>
    <col min="20" max="26" width="17.3046875" hidden="1" customWidth="1"/>
    <col min="27" max="27" width="9.84375" bestFit="1" customWidth="1"/>
    <col min="28" max="28" width="7.84375" bestFit="1" customWidth="1"/>
  </cols>
  <sheetData>
    <row r="1" spans="1:28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8" t="s">
        <v>25</v>
      </c>
      <c r="T1" s="38" t="s">
        <v>26</v>
      </c>
      <c r="U1" s="38" t="s">
        <v>27</v>
      </c>
      <c r="V1" s="38" t="s">
        <v>28</v>
      </c>
      <c r="W1" s="38" t="s">
        <v>29</v>
      </c>
      <c r="X1" s="38" t="s">
        <v>119</v>
      </c>
      <c r="Y1" s="38" t="s">
        <v>30</v>
      </c>
      <c r="Z1" s="38" t="s">
        <v>31</v>
      </c>
      <c r="AA1" t="s">
        <v>64</v>
      </c>
      <c r="AB1" t="s">
        <v>32</v>
      </c>
    </row>
    <row r="2" spans="1:28" x14ac:dyDescent="0.4">
      <c r="A2" t="s">
        <v>685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90</v>
      </c>
      <c r="Z2" t="s">
        <v>128</v>
      </c>
      <c r="AA2">
        <v>0</v>
      </c>
      <c r="AB2">
        <v>39</v>
      </c>
    </row>
    <row r="3" spans="1:28" x14ac:dyDescent="0.4">
      <c r="A3" t="s">
        <v>687</v>
      </c>
      <c r="B3">
        <v>1</v>
      </c>
      <c r="C3" t="s">
        <v>33</v>
      </c>
      <c r="D3">
        <v>3</v>
      </c>
      <c r="F3">
        <v>2</v>
      </c>
      <c r="G3" t="s">
        <v>34</v>
      </c>
      <c r="H3" t="s">
        <v>130</v>
      </c>
      <c r="I3" t="s">
        <v>131</v>
      </c>
      <c r="K3" t="s">
        <v>53</v>
      </c>
      <c r="L3">
        <v>1</v>
      </c>
      <c r="M3">
        <v>1</v>
      </c>
      <c r="N3">
        <v>2</v>
      </c>
      <c r="O3" t="s">
        <v>112</v>
      </c>
      <c r="P3" t="s">
        <v>83</v>
      </c>
      <c r="Q3" t="s">
        <v>97</v>
      </c>
      <c r="S3" t="s">
        <v>56</v>
      </c>
      <c r="T3">
        <v>2</v>
      </c>
      <c r="V3">
        <v>1</v>
      </c>
      <c r="W3" t="s">
        <v>120</v>
      </c>
      <c r="X3" t="s">
        <v>69</v>
      </c>
      <c r="Y3" t="s">
        <v>87</v>
      </c>
      <c r="Z3" t="s">
        <v>88</v>
      </c>
      <c r="AA3">
        <v>0</v>
      </c>
      <c r="AB3">
        <v>15</v>
      </c>
    </row>
    <row r="4" spans="1:28" x14ac:dyDescent="0.4">
      <c r="A4" t="s">
        <v>688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97</v>
      </c>
      <c r="J4" t="s">
        <v>115</v>
      </c>
      <c r="K4" t="s">
        <v>56</v>
      </c>
      <c r="L4">
        <v>3</v>
      </c>
      <c r="N4">
        <v>3</v>
      </c>
      <c r="O4" t="s">
        <v>120</v>
      </c>
      <c r="P4" t="s">
        <v>69</v>
      </c>
      <c r="Q4" t="s">
        <v>87</v>
      </c>
      <c r="R4" t="s">
        <v>88</v>
      </c>
      <c r="S4" t="s">
        <v>43</v>
      </c>
      <c r="T4">
        <v>3</v>
      </c>
      <c r="V4">
        <v>2</v>
      </c>
      <c r="W4" t="s">
        <v>73</v>
      </c>
      <c r="X4" t="s">
        <v>99</v>
      </c>
      <c r="Y4" t="s">
        <v>100</v>
      </c>
      <c r="Z4" t="s">
        <v>139</v>
      </c>
      <c r="AA4">
        <v>0</v>
      </c>
      <c r="AB4">
        <v>34</v>
      </c>
    </row>
    <row r="5" spans="1:28" x14ac:dyDescent="0.4">
      <c r="A5" t="s">
        <v>689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105</v>
      </c>
      <c r="J5" t="s">
        <v>115</v>
      </c>
      <c r="K5" t="s">
        <v>56</v>
      </c>
      <c r="L5">
        <v>3</v>
      </c>
      <c r="N5">
        <v>3</v>
      </c>
      <c r="O5" t="s">
        <v>120</v>
      </c>
      <c r="P5" t="s">
        <v>69</v>
      </c>
      <c r="Q5" t="s">
        <v>87</v>
      </c>
      <c r="R5" t="s">
        <v>88</v>
      </c>
      <c r="S5" t="s">
        <v>45</v>
      </c>
      <c r="T5">
        <v>3</v>
      </c>
      <c r="V5">
        <v>3</v>
      </c>
      <c r="W5" t="s">
        <v>86</v>
      </c>
      <c r="X5" t="s">
        <v>76</v>
      </c>
      <c r="Y5" t="s">
        <v>142</v>
      </c>
      <c r="Z5" t="s">
        <v>143</v>
      </c>
      <c r="AA5">
        <v>0</v>
      </c>
      <c r="AB5">
        <v>43</v>
      </c>
    </row>
    <row r="6" spans="1:28" x14ac:dyDescent="0.4">
      <c r="A6" t="s">
        <v>690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87</v>
      </c>
      <c r="R6" t="s">
        <v>88</v>
      </c>
      <c r="S6" t="s">
        <v>63</v>
      </c>
      <c r="T6">
        <v>3</v>
      </c>
      <c r="V6">
        <v>3</v>
      </c>
      <c r="W6" t="s">
        <v>72</v>
      </c>
      <c r="X6" t="s">
        <v>95</v>
      </c>
      <c r="Y6" t="s">
        <v>147</v>
      </c>
      <c r="Z6" t="s">
        <v>150</v>
      </c>
      <c r="AA6">
        <v>0</v>
      </c>
      <c r="AB6">
        <v>65</v>
      </c>
    </row>
    <row r="7" spans="1:28" x14ac:dyDescent="0.4">
      <c r="A7" t="s">
        <v>691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69</v>
      </c>
      <c r="I7" t="s">
        <v>87</v>
      </c>
      <c r="J7" t="s">
        <v>124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83</v>
      </c>
      <c r="Q7" t="s">
        <v>105</v>
      </c>
      <c r="R7" t="s">
        <v>115</v>
      </c>
      <c r="S7" t="s">
        <v>38</v>
      </c>
      <c r="T7">
        <v>3</v>
      </c>
      <c r="U7">
        <v>3</v>
      </c>
      <c r="V7">
        <v>3</v>
      </c>
      <c r="W7" t="s">
        <v>152</v>
      </c>
      <c r="X7" t="s">
        <v>40</v>
      </c>
      <c r="Y7" t="s">
        <v>153</v>
      </c>
      <c r="Z7" t="s">
        <v>156</v>
      </c>
      <c r="AA7">
        <v>0</v>
      </c>
      <c r="AB7">
        <v>52</v>
      </c>
    </row>
    <row r="8" spans="1:28" x14ac:dyDescent="0.4">
      <c r="A8" t="s">
        <v>692</v>
      </c>
      <c r="B8">
        <v>6</v>
      </c>
      <c r="C8" t="s">
        <v>33</v>
      </c>
      <c r="D8">
        <v>3</v>
      </c>
      <c r="F8">
        <v>1</v>
      </c>
      <c r="G8" t="s">
        <v>34</v>
      </c>
      <c r="H8" t="s">
        <v>130</v>
      </c>
      <c r="I8" t="s">
        <v>36</v>
      </c>
      <c r="J8" t="s">
        <v>134</v>
      </c>
      <c r="K8" t="s">
        <v>53</v>
      </c>
      <c r="L8">
        <v>1</v>
      </c>
      <c r="M8">
        <v>1</v>
      </c>
      <c r="N8">
        <v>2</v>
      </c>
      <c r="O8" t="s">
        <v>112</v>
      </c>
      <c r="P8" t="s">
        <v>83</v>
      </c>
      <c r="Q8" t="s">
        <v>97</v>
      </c>
      <c r="S8" t="s">
        <v>48</v>
      </c>
      <c r="T8">
        <v>3</v>
      </c>
      <c r="V8">
        <v>2</v>
      </c>
      <c r="W8" t="s">
        <v>89</v>
      </c>
      <c r="X8" t="s">
        <v>50</v>
      </c>
      <c r="AA8">
        <v>0</v>
      </c>
      <c r="AB8">
        <v>15</v>
      </c>
    </row>
    <row r="9" spans="1:28" x14ac:dyDescent="0.4">
      <c r="A9" t="s">
        <v>693</v>
      </c>
      <c r="B9">
        <v>7</v>
      </c>
      <c r="C9" t="s">
        <v>43</v>
      </c>
      <c r="D9">
        <v>3</v>
      </c>
      <c r="F9">
        <v>3</v>
      </c>
      <c r="G9" t="s">
        <v>44</v>
      </c>
      <c r="H9" t="s">
        <v>136</v>
      </c>
      <c r="I9" t="s">
        <v>137</v>
      </c>
      <c r="J9" t="s">
        <v>138</v>
      </c>
      <c r="K9" t="s">
        <v>53</v>
      </c>
      <c r="L9">
        <v>2</v>
      </c>
      <c r="M9">
        <v>1</v>
      </c>
      <c r="N9">
        <v>2</v>
      </c>
      <c r="O9" t="s">
        <v>112</v>
      </c>
      <c r="P9" t="s">
        <v>83</v>
      </c>
      <c r="Q9" t="s">
        <v>105</v>
      </c>
      <c r="R9" t="s">
        <v>115</v>
      </c>
      <c r="S9" t="s">
        <v>48</v>
      </c>
      <c r="T9">
        <v>3</v>
      </c>
      <c r="V9">
        <v>3</v>
      </c>
      <c r="W9" t="s">
        <v>126</v>
      </c>
      <c r="X9" t="s">
        <v>71</v>
      </c>
      <c r="Y9" t="s">
        <v>51</v>
      </c>
      <c r="Z9" t="s">
        <v>128</v>
      </c>
      <c r="AA9">
        <v>0</v>
      </c>
      <c r="AB9">
        <v>25</v>
      </c>
    </row>
    <row r="10" spans="1:28" x14ac:dyDescent="0.4">
      <c r="A10" t="s">
        <v>694</v>
      </c>
      <c r="B10">
        <v>8</v>
      </c>
      <c r="C10" t="s">
        <v>53</v>
      </c>
      <c r="D10">
        <v>3</v>
      </c>
      <c r="E10">
        <v>3</v>
      </c>
      <c r="F10">
        <v>3</v>
      </c>
      <c r="G10" t="s">
        <v>111</v>
      </c>
      <c r="H10" t="s">
        <v>83</v>
      </c>
      <c r="I10" t="s">
        <v>97</v>
      </c>
      <c r="J10" t="s">
        <v>115</v>
      </c>
      <c r="K10" t="s">
        <v>48</v>
      </c>
      <c r="L10">
        <v>3</v>
      </c>
      <c r="N10">
        <v>2</v>
      </c>
      <c r="O10" t="s">
        <v>126</v>
      </c>
      <c r="P10" t="s">
        <v>71</v>
      </c>
      <c r="Q10" t="s">
        <v>51</v>
      </c>
      <c r="R10" t="s">
        <v>128</v>
      </c>
      <c r="S10" t="s">
        <v>45</v>
      </c>
      <c r="T10">
        <v>3</v>
      </c>
      <c r="V10">
        <v>3</v>
      </c>
      <c r="W10" t="s">
        <v>86</v>
      </c>
      <c r="X10" t="s">
        <v>76</v>
      </c>
      <c r="Y10" t="s">
        <v>93</v>
      </c>
      <c r="Z10" t="s">
        <v>143</v>
      </c>
      <c r="AA10">
        <v>0</v>
      </c>
      <c r="AB10">
        <v>32</v>
      </c>
    </row>
    <row r="11" spans="1:28" x14ac:dyDescent="0.4">
      <c r="A11" t="s">
        <v>695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54</v>
      </c>
      <c r="H11" t="s">
        <v>83</v>
      </c>
      <c r="I11" t="s">
        <v>105</v>
      </c>
      <c r="J11" t="s">
        <v>115</v>
      </c>
      <c r="K11" t="s">
        <v>48</v>
      </c>
      <c r="L11">
        <v>3</v>
      </c>
      <c r="N11">
        <v>3</v>
      </c>
      <c r="O11" t="s">
        <v>126</v>
      </c>
      <c r="P11" t="s">
        <v>71</v>
      </c>
      <c r="Q11" t="s">
        <v>51</v>
      </c>
      <c r="R11" t="s">
        <v>128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148</v>
      </c>
      <c r="Z11" t="s">
        <v>149</v>
      </c>
      <c r="AA11">
        <v>0</v>
      </c>
      <c r="AB11">
        <v>52</v>
      </c>
    </row>
    <row r="12" spans="1:28" x14ac:dyDescent="0.4">
      <c r="A12" t="s">
        <v>696</v>
      </c>
      <c r="B12">
        <v>10</v>
      </c>
      <c r="C12" t="s">
        <v>53</v>
      </c>
      <c r="D12">
        <v>3</v>
      </c>
      <c r="E12">
        <v>1</v>
      </c>
      <c r="F12">
        <v>3</v>
      </c>
      <c r="G12" t="s">
        <v>54</v>
      </c>
      <c r="H12" t="s">
        <v>83</v>
      </c>
      <c r="I12" t="s">
        <v>105</v>
      </c>
      <c r="J12" t="s">
        <v>115</v>
      </c>
      <c r="K12" t="s">
        <v>48</v>
      </c>
      <c r="L12">
        <v>3</v>
      </c>
      <c r="N12">
        <v>1</v>
      </c>
      <c r="O12" t="s">
        <v>49</v>
      </c>
      <c r="P12" t="s">
        <v>71</v>
      </c>
      <c r="Q12" t="s">
        <v>90</v>
      </c>
      <c r="R12" t="s">
        <v>128</v>
      </c>
      <c r="S12" t="s">
        <v>38</v>
      </c>
      <c r="T12">
        <v>3</v>
      </c>
      <c r="U12">
        <v>2</v>
      </c>
      <c r="V12">
        <v>2</v>
      </c>
      <c r="W12" t="s">
        <v>152</v>
      </c>
      <c r="X12" t="s">
        <v>96</v>
      </c>
      <c r="Y12" t="s">
        <v>153</v>
      </c>
      <c r="Z12" t="s">
        <v>156</v>
      </c>
      <c r="AA12">
        <v>0</v>
      </c>
      <c r="AB12">
        <v>22</v>
      </c>
    </row>
    <row r="13" spans="1:28" x14ac:dyDescent="0.4">
      <c r="A13" t="s">
        <v>697</v>
      </c>
      <c r="B13">
        <v>11</v>
      </c>
      <c r="C13" t="s">
        <v>43</v>
      </c>
      <c r="D13">
        <v>3</v>
      </c>
      <c r="F13">
        <v>2</v>
      </c>
      <c r="G13" t="s">
        <v>44</v>
      </c>
      <c r="H13" t="s">
        <v>136</v>
      </c>
      <c r="I13" t="s">
        <v>75</v>
      </c>
      <c r="J13" t="s">
        <v>139</v>
      </c>
      <c r="K13" t="s">
        <v>53</v>
      </c>
      <c r="L13">
        <v>1</v>
      </c>
      <c r="M13">
        <v>1</v>
      </c>
      <c r="N13">
        <v>2</v>
      </c>
      <c r="O13" t="s">
        <v>112</v>
      </c>
      <c r="P13" t="s">
        <v>83</v>
      </c>
      <c r="Q13" t="s">
        <v>97</v>
      </c>
      <c r="R13" t="s">
        <v>98</v>
      </c>
      <c r="S13" t="s">
        <v>33</v>
      </c>
      <c r="T13">
        <v>3</v>
      </c>
      <c r="V13">
        <v>3</v>
      </c>
      <c r="W13" t="s">
        <v>34</v>
      </c>
      <c r="X13" t="s">
        <v>130</v>
      </c>
      <c r="Y13" t="s">
        <v>131</v>
      </c>
      <c r="AA13">
        <v>0</v>
      </c>
      <c r="AB13">
        <v>20</v>
      </c>
    </row>
    <row r="14" spans="1:28" x14ac:dyDescent="0.4">
      <c r="A14" t="s">
        <v>698</v>
      </c>
      <c r="B14">
        <v>12</v>
      </c>
      <c r="C14" t="s">
        <v>33</v>
      </c>
      <c r="D14">
        <v>3</v>
      </c>
      <c r="F14">
        <v>3</v>
      </c>
      <c r="G14" t="s">
        <v>34</v>
      </c>
      <c r="H14" t="s">
        <v>130</v>
      </c>
      <c r="I14" t="s">
        <v>36</v>
      </c>
      <c r="K14" t="s">
        <v>53</v>
      </c>
      <c r="L14">
        <v>1</v>
      </c>
      <c r="M14">
        <v>2</v>
      </c>
      <c r="N14">
        <v>3</v>
      </c>
      <c r="O14" t="s">
        <v>112</v>
      </c>
      <c r="P14" t="s">
        <v>83</v>
      </c>
      <c r="Q14" t="s">
        <v>97</v>
      </c>
      <c r="S14" t="s">
        <v>45</v>
      </c>
      <c r="T14">
        <v>3</v>
      </c>
      <c r="V14">
        <v>2</v>
      </c>
      <c r="W14" t="s">
        <v>47</v>
      </c>
      <c r="X14" t="s">
        <v>76</v>
      </c>
      <c r="Y14" t="s">
        <v>142</v>
      </c>
      <c r="Z14" t="s">
        <v>143</v>
      </c>
      <c r="AA14">
        <v>0</v>
      </c>
      <c r="AB14">
        <v>20</v>
      </c>
    </row>
    <row r="15" spans="1:28" x14ac:dyDescent="0.4">
      <c r="A15" t="s">
        <v>699</v>
      </c>
      <c r="B15">
        <v>13</v>
      </c>
      <c r="C15" t="s">
        <v>33</v>
      </c>
      <c r="D15">
        <v>3</v>
      </c>
      <c r="F15">
        <v>2</v>
      </c>
      <c r="G15" t="s">
        <v>34</v>
      </c>
      <c r="H15" t="s">
        <v>35</v>
      </c>
      <c r="I15" t="s">
        <v>36</v>
      </c>
      <c r="K15" t="s">
        <v>53</v>
      </c>
      <c r="L15">
        <v>2</v>
      </c>
      <c r="M15">
        <v>1</v>
      </c>
      <c r="N15">
        <v>2</v>
      </c>
      <c r="O15" t="s">
        <v>111</v>
      </c>
      <c r="P15" t="s">
        <v>83</v>
      </c>
      <c r="Q15" t="s">
        <v>97</v>
      </c>
      <c r="S15" t="s">
        <v>63</v>
      </c>
      <c r="T15">
        <v>2</v>
      </c>
      <c r="V15">
        <v>2</v>
      </c>
      <c r="W15" t="s">
        <v>72</v>
      </c>
      <c r="X15" t="s">
        <v>146</v>
      </c>
      <c r="AA15">
        <v>0</v>
      </c>
      <c r="AB15">
        <v>15</v>
      </c>
    </row>
    <row r="16" spans="1:28" x14ac:dyDescent="0.4">
      <c r="A16" t="s">
        <v>700</v>
      </c>
      <c r="B16">
        <v>14</v>
      </c>
      <c r="C16" t="s">
        <v>53</v>
      </c>
      <c r="D16">
        <v>3</v>
      </c>
      <c r="E16">
        <v>3</v>
      </c>
      <c r="F16">
        <v>3</v>
      </c>
      <c r="G16" t="s">
        <v>112</v>
      </c>
      <c r="H16" t="s">
        <v>83</v>
      </c>
      <c r="I16" t="s">
        <v>97</v>
      </c>
      <c r="J16" t="s">
        <v>115</v>
      </c>
      <c r="K16" t="s">
        <v>33</v>
      </c>
      <c r="L16">
        <v>2</v>
      </c>
      <c r="N16">
        <v>2</v>
      </c>
      <c r="O16" t="s">
        <v>34</v>
      </c>
      <c r="P16" t="s">
        <v>130</v>
      </c>
      <c r="Q16" t="s">
        <v>36</v>
      </c>
      <c r="S16" t="s">
        <v>38</v>
      </c>
      <c r="T16">
        <v>3</v>
      </c>
      <c r="U16">
        <v>3</v>
      </c>
      <c r="V16">
        <v>3</v>
      </c>
      <c r="W16" t="s">
        <v>67</v>
      </c>
      <c r="X16" t="s">
        <v>40</v>
      </c>
      <c r="Y16" t="s">
        <v>153</v>
      </c>
      <c r="Z16" t="s">
        <v>156</v>
      </c>
      <c r="AA16">
        <v>0</v>
      </c>
      <c r="AB16">
        <v>30</v>
      </c>
    </row>
    <row r="17" spans="1:28" x14ac:dyDescent="0.4">
      <c r="A17" t="s">
        <v>701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83</v>
      </c>
      <c r="I17" t="s">
        <v>97</v>
      </c>
      <c r="J17" t="s">
        <v>115</v>
      </c>
      <c r="K17" t="s">
        <v>43</v>
      </c>
      <c r="L17">
        <v>3</v>
      </c>
      <c r="N17">
        <v>3</v>
      </c>
      <c r="O17" t="s">
        <v>135</v>
      </c>
      <c r="P17" t="s">
        <v>99</v>
      </c>
      <c r="Q17" t="s">
        <v>100</v>
      </c>
      <c r="R17" t="s">
        <v>139</v>
      </c>
      <c r="S17" t="s">
        <v>45</v>
      </c>
      <c r="T17">
        <v>3</v>
      </c>
      <c r="V17">
        <v>3</v>
      </c>
      <c r="W17" t="s">
        <v>86</v>
      </c>
      <c r="X17" t="s">
        <v>76</v>
      </c>
      <c r="Y17" t="s">
        <v>142</v>
      </c>
      <c r="Z17" t="s">
        <v>143</v>
      </c>
      <c r="AA17">
        <v>0</v>
      </c>
      <c r="AB17">
        <v>48</v>
      </c>
    </row>
    <row r="18" spans="1:28" x14ac:dyDescent="0.4">
      <c r="A18" t="s">
        <v>702</v>
      </c>
      <c r="B18">
        <v>16</v>
      </c>
      <c r="C18" t="s">
        <v>63</v>
      </c>
      <c r="D18">
        <v>3</v>
      </c>
      <c r="F18">
        <v>3</v>
      </c>
      <c r="G18" t="s">
        <v>72</v>
      </c>
      <c r="H18" t="s">
        <v>95</v>
      </c>
      <c r="I18" t="s">
        <v>148</v>
      </c>
      <c r="J18" t="s">
        <v>149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83</v>
      </c>
      <c r="Q18" t="s">
        <v>114</v>
      </c>
      <c r="R18" t="s">
        <v>115</v>
      </c>
      <c r="S18" t="s">
        <v>43</v>
      </c>
      <c r="T18">
        <v>3</v>
      </c>
      <c r="V18">
        <v>3</v>
      </c>
      <c r="W18" t="s">
        <v>44</v>
      </c>
      <c r="X18" t="s">
        <v>99</v>
      </c>
      <c r="Y18" t="s">
        <v>75</v>
      </c>
      <c r="Z18" t="s">
        <v>101</v>
      </c>
      <c r="AA18">
        <v>0</v>
      </c>
      <c r="AB18">
        <v>37</v>
      </c>
    </row>
    <row r="19" spans="1:28" x14ac:dyDescent="0.4">
      <c r="A19" t="s">
        <v>703</v>
      </c>
      <c r="B19">
        <v>17</v>
      </c>
      <c r="C19" t="s">
        <v>38</v>
      </c>
      <c r="D19">
        <v>1</v>
      </c>
      <c r="E19">
        <v>2</v>
      </c>
      <c r="F19">
        <v>2</v>
      </c>
      <c r="G19" t="s">
        <v>152</v>
      </c>
      <c r="H19" t="s">
        <v>40</v>
      </c>
      <c r="I19" t="s">
        <v>153</v>
      </c>
      <c r="J19" t="s">
        <v>156</v>
      </c>
      <c r="K19" t="s">
        <v>53</v>
      </c>
      <c r="L19">
        <v>1</v>
      </c>
      <c r="M19">
        <v>1</v>
      </c>
      <c r="N19">
        <v>2</v>
      </c>
      <c r="O19" t="s">
        <v>112</v>
      </c>
      <c r="P19" t="s">
        <v>83</v>
      </c>
      <c r="Q19" t="s">
        <v>97</v>
      </c>
      <c r="R19" t="s">
        <v>115</v>
      </c>
      <c r="S19" t="s">
        <v>43</v>
      </c>
      <c r="T19">
        <v>3</v>
      </c>
      <c r="V19">
        <v>2</v>
      </c>
      <c r="W19" t="s">
        <v>44</v>
      </c>
      <c r="X19" t="s">
        <v>136</v>
      </c>
      <c r="Y19" t="s">
        <v>137</v>
      </c>
      <c r="AA19">
        <v>0</v>
      </c>
      <c r="AB19">
        <v>19</v>
      </c>
    </row>
    <row r="20" spans="1:28" x14ac:dyDescent="0.4">
      <c r="A20" t="s">
        <v>704</v>
      </c>
      <c r="B20">
        <v>18</v>
      </c>
      <c r="C20" t="s">
        <v>63</v>
      </c>
      <c r="D20">
        <v>3</v>
      </c>
      <c r="F20">
        <v>3</v>
      </c>
      <c r="G20" t="s">
        <v>103</v>
      </c>
      <c r="H20" t="s">
        <v>146</v>
      </c>
      <c r="I20" t="s">
        <v>147</v>
      </c>
      <c r="J20" t="s">
        <v>151</v>
      </c>
      <c r="K20" t="s">
        <v>53</v>
      </c>
      <c r="L20">
        <v>1</v>
      </c>
      <c r="M20">
        <v>2</v>
      </c>
      <c r="N20">
        <v>3</v>
      </c>
      <c r="O20" t="s">
        <v>111</v>
      </c>
      <c r="P20" t="s">
        <v>83</v>
      </c>
      <c r="Q20" t="s">
        <v>97</v>
      </c>
      <c r="R20" t="s">
        <v>115</v>
      </c>
      <c r="S20" t="s">
        <v>45</v>
      </c>
      <c r="T20">
        <v>3</v>
      </c>
      <c r="V20">
        <v>3</v>
      </c>
      <c r="W20" t="s">
        <v>86</v>
      </c>
      <c r="X20" t="s">
        <v>76</v>
      </c>
      <c r="Y20" t="s">
        <v>93</v>
      </c>
      <c r="Z20" t="s">
        <v>143</v>
      </c>
      <c r="AA20">
        <v>0</v>
      </c>
      <c r="AB20">
        <v>29</v>
      </c>
    </row>
    <row r="21" spans="1:28" x14ac:dyDescent="0.4">
      <c r="A21" t="s">
        <v>705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83</v>
      </c>
      <c r="I21" t="s">
        <v>114</v>
      </c>
      <c r="J21" t="s">
        <v>115</v>
      </c>
      <c r="K21" t="s">
        <v>45</v>
      </c>
      <c r="L21">
        <v>3</v>
      </c>
      <c r="N21">
        <v>2</v>
      </c>
      <c r="O21" t="s">
        <v>86</v>
      </c>
      <c r="P21" t="s">
        <v>141</v>
      </c>
      <c r="Q21" t="s">
        <v>93</v>
      </c>
      <c r="R21" t="s">
        <v>143</v>
      </c>
      <c r="S21" t="s">
        <v>38</v>
      </c>
      <c r="T21">
        <v>3</v>
      </c>
      <c r="U21">
        <v>3</v>
      </c>
      <c r="V21">
        <v>3</v>
      </c>
      <c r="W21" t="s">
        <v>152</v>
      </c>
      <c r="X21" t="s">
        <v>40</v>
      </c>
      <c r="Y21" t="s">
        <v>153</v>
      </c>
      <c r="Z21" t="s">
        <v>156</v>
      </c>
      <c r="AA21">
        <v>0</v>
      </c>
      <c r="AB21">
        <v>34</v>
      </c>
    </row>
    <row r="22" spans="1:28" x14ac:dyDescent="0.4">
      <c r="A22" t="s">
        <v>706</v>
      </c>
      <c r="B22">
        <v>20</v>
      </c>
      <c r="C22" t="s">
        <v>53</v>
      </c>
      <c r="D22">
        <v>3</v>
      </c>
      <c r="E22">
        <v>3</v>
      </c>
      <c r="F22">
        <v>3</v>
      </c>
      <c r="G22" t="s">
        <v>54</v>
      </c>
      <c r="H22" t="s">
        <v>83</v>
      </c>
      <c r="I22" t="s">
        <v>105</v>
      </c>
      <c r="J22" t="s">
        <v>115</v>
      </c>
      <c r="K22" t="s">
        <v>63</v>
      </c>
      <c r="L22">
        <v>2</v>
      </c>
      <c r="N22">
        <v>1</v>
      </c>
      <c r="O22" t="s">
        <v>103</v>
      </c>
      <c r="P22" t="s">
        <v>95</v>
      </c>
      <c r="Q22" t="s">
        <v>147</v>
      </c>
      <c r="R22" t="s">
        <v>149</v>
      </c>
      <c r="S22" t="s">
        <v>38</v>
      </c>
      <c r="T22">
        <v>3</v>
      </c>
      <c r="U22">
        <v>3</v>
      </c>
      <c r="V22">
        <v>3</v>
      </c>
      <c r="W22" t="s">
        <v>152</v>
      </c>
      <c r="X22" t="s">
        <v>96</v>
      </c>
      <c r="Y22" t="s">
        <v>154</v>
      </c>
      <c r="Z22" t="s">
        <v>156</v>
      </c>
      <c r="AA22">
        <v>0</v>
      </c>
      <c r="AB22">
        <v>32</v>
      </c>
    </row>
    <row r="23" spans="1:28" x14ac:dyDescent="0.4">
      <c r="A23" t="s">
        <v>707</v>
      </c>
      <c r="B23">
        <v>21</v>
      </c>
      <c r="C23" t="s">
        <v>48</v>
      </c>
      <c r="D23">
        <v>3</v>
      </c>
      <c r="F23">
        <v>1</v>
      </c>
      <c r="G23" t="s">
        <v>126</v>
      </c>
      <c r="H23" t="s">
        <v>71</v>
      </c>
      <c r="I23" t="s">
        <v>127</v>
      </c>
      <c r="J23" t="s">
        <v>128</v>
      </c>
      <c r="K23" t="s">
        <v>56</v>
      </c>
      <c r="L23">
        <v>2</v>
      </c>
      <c r="N23">
        <v>2</v>
      </c>
      <c r="O23" t="s">
        <v>120</v>
      </c>
      <c r="P23" t="s">
        <v>69</v>
      </c>
      <c r="Q23" t="s">
        <v>87</v>
      </c>
      <c r="S23" t="s">
        <v>33</v>
      </c>
      <c r="T23">
        <v>2</v>
      </c>
      <c r="V23">
        <v>1</v>
      </c>
      <c r="W23" t="s">
        <v>34</v>
      </c>
      <c r="X23" t="s">
        <v>130</v>
      </c>
      <c r="Y23" t="s">
        <v>132</v>
      </c>
      <c r="Z23" t="s">
        <v>133</v>
      </c>
      <c r="AA23">
        <v>0</v>
      </c>
      <c r="AB23">
        <v>16</v>
      </c>
    </row>
    <row r="24" spans="1:28" x14ac:dyDescent="0.4">
      <c r="A24" t="s">
        <v>708</v>
      </c>
      <c r="B24">
        <v>22</v>
      </c>
      <c r="C24" t="s">
        <v>56</v>
      </c>
      <c r="D24">
        <v>3</v>
      </c>
      <c r="F24">
        <v>3</v>
      </c>
      <c r="G24" t="s">
        <v>120</v>
      </c>
      <c r="H24" t="s">
        <v>69</v>
      </c>
      <c r="I24" t="s">
        <v>87</v>
      </c>
      <c r="J24" t="s">
        <v>88</v>
      </c>
      <c r="K24" t="s">
        <v>48</v>
      </c>
      <c r="L24">
        <v>3</v>
      </c>
      <c r="N24">
        <v>3</v>
      </c>
      <c r="O24" t="s">
        <v>126</v>
      </c>
      <c r="P24" t="s">
        <v>71</v>
      </c>
      <c r="Q24" t="s">
        <v>90</v>
      </c>
      <c r="R24" t="s">
        <v>128</v>
      </c>
      <c r="S24" t="s">
        <v>43</v>
      </c>
      <c r="T24">
        <v>3</v>
      </c>
      <c r="V24">
        <v>3</v>
      </c>
      <c r="W24" t="s">
        <v>44</v>
      </c>
      <c r="X24" t="s">
        <v>136</v>
      </c>
      <c r="Y24" t="s">
        <v>137</v>
      </c>
      <c r="Z24" t="s">
        <v>138</v>
      </c>
      <c r="AA24">
        <v>0</v>
      </c>
      <c r="AB24">
        <v>26</v>
      </c>
    </row>
    <row r="25" spans="1:28" x14ac:dyDescent="0.4">
      <c r="A25" t="s">
        <v>709</v>
      </c>
      <c r="B25">
        <v>23</v>
      </c>
      <c r="C25" t="s">
        <v>48</v>
      </c>
      <c r="D25">
        <v>2</v>
      </c>
      <c r="F25">
        <v>1</v>
      </c>
      <c r="G25" t="s">
        <v>126</v>
      </c>
      <c r="H25" t="s">
        <v>71</v>
      </c>
      <c r="I25" t="s">
        <v>90</v>
      </c>
      <c r="J25" t="s">
        <v>128</v>
      </c>
      <c r="K25" t="s">
        <v>56</v>
      </c>
      <c r="L25">
        <v>2</v>
      </c>
      <c r="N25">
        <v>1</v>
      </c>
      <c r="O25" t="s">
        <v>120</v>
      </c>
      <c r="P25" t="s">
        <v>69</v>
      </c>
      <c r="Q25" t="s">
        <v>87</v>
      </c>
      <c r="R25" t="s">
        <v>88</v>
      </c>
      <c r="S25" t="s">
        <v>45</v>
      </c>
      <c r="T25">
        <v>2</v>
      </c>
      <c r="V25">
        <v>2</v>
      </c>
      <c r="W25" t="s">
        <v>86</v>
      </c>
      <c r="AA25">
        <v>0</v>
      </c>
      <c r="AB25">
        <v>14</v>
      </c>
    </row>
    <row r="26" spans="1:28" x14ac:dyDescent="0.4">
      <c r="A26" t="s">
        <v>710</v>
      </c>
      <c r="B26">
        <v>24</v>
      </c>
      <c r="C26" t="s">
        <v>63</v>
      </c>
      <c r="D26">
        <v>3</v>
      </c>
      <c r="F26">
        <v>3</v>
      </c>
      <c r="G26" t="s">
        <v>72</v>
      </c>
      <c r="H26" t="s">
        <v>146</v>
      </c>
      <c r="I26" t="s">
        <v>148</v>
      </c>
      <c r="J26" t="s">
        <v>150</v>
      </c>
      <c r="K26" t="s">
        <v>56</v>
      </c>
      <c r="L26">
        <v>3</v>
      </c>
      <c r="N26">
        <v>3</v>
      </c>
      <c r="O26" t="s">
        <v>120</v>
      </c>
      <c r="P26" t="s">
        <v>69</v>
      </c>
      <c r="Q26" t="s">
        <v>87</v>
      </c>
      <c r="R26" t="s">
        <v>88</v>
      </c>
      <c r="S26" t="s">
        <v>48</v>
      </c>
      <c r="T26">
        <v>3</v>
      </c>
      <c r="V26">
        <v>3</v>
      </c>
      <c r="W26" t="s">
        <v>126</v>
      </c>
      <c r="X26" t="s">
        <v>71</v>
      </c>
      <c r="Y26" t="s">
        <v>127</v>
      </c>
      <c r="Z26" t="s">
        <v>52</v>
      </c>
      <c r="AA26">
        <v>0</v>
      </c>
      <c r="AB26">
        <v>39</v>
      </c>
    </row>
    <row r="27" spans="1:28" x14ac:dyDescent="0.4">
      <c r="A27" t="s">
        <v>711</v>
      </c>
      <c r="B27">
        <v>25</v>
      </c>
      <c r="C27" t="s">
        <v>38</v>
      </c>
      <c r="D27">
        <v>3</v>
      </c>
      <c r="E27">
        <v>2</v>
      </c>
      <c r="F27">
        <v>3</v>
      </c>
      <c r="G27" t="s">
        <v>67</v>
      </c>
      <c r="H27" t="s">
        <v>40</v>
      </c>
      <c r="I27" t="s">
        <v>153</v>
      </c>
      <c r="J27" t="s">
        <v>156</v>
      </c>
      <c r="K27" t="s">
        <v>56</v>
      </c>
      <c r="L27">
        <v>3</v>
      </c>
      <c r="N27">
        <v>3</v>
      </c>
      <c r="O27" t="s">
        <v>120</v>
      </c>
      <c r="P27" t="s">
        <v>69</v>
      </c>
      <c r="Q27" t="s">
        <v>87</v>
      </c>
      <c r="R27" t="s">
        <v>124</v>
      </c>
      <c r="S27" t="s">
        <v>48</v>
      </c>
      <c r="T27">
        <v>3</v>
      </c>
      <c r="V27">
        <v>2</v>
      </c>
      <c r="W27" t="s">
        <v>126</v>
      </c>
      <c r="X27" t="s">
        <v>84</v>
      </c>
      <c r="Y27" t="s">
        <v>127</v>
      </c>
      <c r="Z27" t="s">
        <v>128</v>
      </c>
      <c r="AA27">
        <v>0</v>
      </c>
      <c r="AB27">
        <v>26</v>
      </c>
    </row>
    <row r="28" spans="1:28" x14ac:dyDescent="0.4">
      <c r="A28" t="s">
        <v>712</v>
      </c>
      <c r="B28">
        <v>26</v>
      </c>
      <c r="C28" t="s">
        <v>56</v>
      </c>
      <c r="D28">
        <v>2</v>
      </c>
      <c r="F28">
        <v>2</v>
      </c>
      <c r="G28" t="s">
        <v>120</v>
      </c>
      <c r="H28" t="s">
        <v>121</v>
      </c>
      <c r="I28" t="s">
        <v>87</v>
      </c>
      <c r="K28" t="s">
        <v>33</v>
      </c>
      <c r="L28">
        <v>1</v>
      </c>
      <c r="N28">
        <v>1</v>
      </c>
      <c r="O28" t="s">
        <v>34</v>
      </c>
      <c r="P28" t="s">
        <v>130</v>
      </c>
      <c r="S28" t="s">
        <v>43</v>
      </c>
      <c r="T28">
        <v>2</v>
      </c>
      <c r="V28">
        <v>1</v>
      </c>
      <c r="W28" t="s">
        <v>44</v>
      </c>
      <c r="X28" t="s">
        <v>136</v>
      </c>
      <c r="Y28" t="s">
        <v>75</v>
      </c>
      <c r="Z28" t="s">
        <v>101</v>
      </c>
      <c r="AA28">
        <v>0</v>
      </c>
      <c r="AB28">
        <v>12</v>
      </c>
    </row>
    <row r="29" spans="1:28" x14ac:dyDescent="0.4">
      <c r="A29" t="s">
        <v>713</v>
      </c>
      <c r="B29">
        <v>27</v>
      </c>
      <c r="C29" t="s">
        <v>45</v>
      </c>
      <c r="D29">
        <v>3</v>
      </c>
      <c r="F29">
        <v>2</v>
      </c>
      <c r="G29" t="s">
        <v>47</v>
      </c>
      <c r="H29" t="s">
        <v>76</v>
      </c>
      <c r="I29" t="s">
        <v>142</v>
      </c>
      <c r="J29" t="s">
        <v>143</v>
      </c>
      <c r="K29" t="s">
        <v>56</v>
      </c>
      <c r="L29">
        <v>1</v>
      </c>
      <c r="N29">
        <v>3</v>
      </c>
      <c r="O29" t="s">
        <v>120</v>
      </c>
      <c r="P29" t="s">
        <v>69</v>
      </c>
      <c r="Q29" t="s">
        <v>87</v>
      </c>
      <c r="R29" t="s">
        <v>124</v>
      </c>
      <c r="S29" t="s">
        <v>33</v>
      </c>
      <c r="T29">
        <v>1</v>
      </c>
      <c r="V29">
        <v>3</v>
      </c>
      <c r="W29" t="s">
        <v>34</v>
      </c>
      <c r="X29" t="s">
        <v>66</v>
      </c>
      <c r="Y29" t="s">
        <v>131</v>
      </c>
      <c r="AA29">
        <v>0</v>
      </c>
      <c r="AB29">
        <v>20</v>
      </c>
    </row>
    <row r="30" spans="1:28" x14ac:dyDescent="0.4">
      <c r="A30" t="s">
        <v>714</v>
      </c>
      <c r="B30">
        <v>28</v>
      </c>
      <c r="C30" t="s">
        <v>56</v>
      </c>
      <c r="D30">
        <v>3</v>
      </c>
      <c r="F30">
        <v>2</v>
      </c>
      <c r="G30" t="s">
        <v>120</v>
      </c>
      <c r="H30" t="s">
        <v>69</v>
      </c>
      <c r="I30" t="s">
        <v>87</v>
      </c>
      <c r="J30" t="s">
        <v>88</v>
      </c>
      <c r="K30" t="s">
        <v>33</v>
      </c>
      <c r="L30">
        <v>2</v>
      </c>
      <c r="N30">
        <v>2</v>
      </c>
      <c r="O30" t="s">
        <v>34</v>
      </c>
      <c r="S30" t="s">
        <v>63</v>
      </c>
      <c r="T30">
        <v>3</v>
      </c>
      <c r="V30">
        <v>2</v>
      </c>
      <c r="W30" t="s">
        <v>72</v>
      </c>
      <c r="X30" t="s">
        <v>146</v>
      </c>
      <c r="Y30" t="s">
        <v>148</v>
      </c>
      <c r="Z30" t="s">
        <v>150</v>
      </c>
      <c r="AA30">
        <v>0</v>
      </c>
      <c r="AB30">
        <v>18</v>
      </c>
    </row>
    <row r="31" spans="1:28" x14ac:dyDescent="0.4">
      <c r="A31" t="s">
        <v>715</v>
      </c>
      <c r="B31">
        <v>29</v>
      </c>
      <c r="C31" t="s">
        <v>56</v>
      </c>
      <c r="D31">
        <v>3</v>
      </c>
      <c r="F31">
        <v>3</v>
      </c>
      <c r="G31" t="s">
        <v>120</v>
      </c>
      <c r="H31" t="s">
        <v>69</v>
      </c>
      <c r="I31" t="s">
        <v>87</v>
      </c>
      <c r="J31" t="s">
        <v>88</v>
      </c>
      <c r="K31" t="s">
        <v>33</v>
      </c>
      <c r="L31">
        <v>1</v>
      </c>
      <c r="N31">
        <v>3</v>
      </c>
      <c r="O31" t="s">
        <v>46</v>
      </c>
      <c r="P31" t="s">
        <v>66</v>
      </c>
      <c r="Q31" t="s">
        <v>132</v>
      </c>
      <c r="R31" t="s">
        <v>133</v>
      </c>
      <c r="S31" t="s">
        <v>38</v>
      </c>
      <c r="T31">
        <v>3</v>
      </c>
      <c r="U31">
        <v>3</v>
      </c>
      <c r="V31">
        <v>3</v>
      </c>
      <c r="W31" t="s">
        <v>67</v>
      </c>
      <c r="X31" t="s">
        <v>96</v>
      </c>
      <c r="Y31" t="s">
        <v>153</v>
      </c>
      <c r="Z31" t="s">
        <v>156</v>
      </c>
      <c r="AA31">
        <v>0</v>
      </c>
      <c r="AB31">
        <v>26</v>
      </c>
    </row>
    <row r="32" spans="1:28" x14ac:dyDescent="0.4">
      <c r="A32" t="s">
        <v>716</v>
      </c>
      <c r="B32">
        <v>30</v>
      </c>
      <c r="C32" t="s">
        <v>56</v>
      </c>
      <c r="D32">
        <v>2</v>
      </c>
      <c r="F32">
        <v>3</v>
      </c>
      <c r="G32" t="s">
        <v>120</v>
      </c>
      <c r="H32" t="s">
        <v>69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100</v>
      </c>
      <c r="S32" t="s">
        <v>45</v>
      </c>
      <c r="T32">
        <v>3</v>
      </c>
      <c r="V32">
        <v>1</v>
      </c>
      <c r="W32" t="s">
        <v>86</v>
      </c>
      <c r="X32" t="s">
        <v>76</v>
      </c>
      <c r="Y32" t="s">
        <v>93</v>
      </c>
      <c r="AA32">
        <v>0</v>
      </c>
      <c r="AB32">
        <v>13</v>
      </c>
    </row>
    <row r="33" spans="1:28" x14ac:dyDescent="0.4">
      <c r="A33" t="s">
        <v>717</v>
      </c>
      <c r="B33">
        <v>31</v>
      </c>
      <c r="C33" t="s">
        <v>63</v>
      </c>
      <c r="D33">
        <v>3</v>
      </c>
      <c r="F33">
        <v>3</v>
      </c>
      <c r="G33" t="s">
        <v>72</v>
      </c>
      <c r="H33" t="s">
        <v>146</v>
      </c>
      <c r="I33" t="s">
        <v>148</v>
      </c>
      <c r="J33" t="s">
        <v>150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87</v>
      </c>
      <c r="R33" t="s">
        <v>88</v>
      </c>
      <c r="S33" t="s">
        <v>43</v>
      </c>
      <c r="T33">
        <v>3</v>
      </c>
      <c r="V33">
        <v>2</v>
      </c>
      <c r="W33" t="s">
        <v>44</v>
      </c>
      <c r="X33" t="s">
        <v>99</v>
      </c>
      <c r="Y33" t="s">
        <v>100</v>
      </c>
      <c r="Z33" t="s">
        <v>139</v>
      </c>
      <c r="AA33">
        <v>0</v>
      </c>
      <c r="AB33">
        <v>39</v>
      </c>
    </row>
    <row r="34" spans="1:28" x14ac:dyDescent="0.4">
      <c r="A34" t="s">
        <v>718</v>
      </c>
      <c r="B34">
        <v>32</v>
      </c>
      <c r="C34" t="s">
        <v>43</v>
      </c>
      <c r="D34">
        <v>3</v>
      </c>
      <c r="F34">
        <v>3</v>
      </c>
      <c r="G34" t="s">
        <v>73</v>
      </c>
      <c r="H34" t="s">
        <v>136</v>
      </c>
      <c r="I34" t="s">
        <v>75</v>
      </c>
      <c r="J34" t="s">
        <v>138</v>
      </c>
      <c r="K34" t="s">
        <v>56</v>
      </c>
      <c r="L34">
        <v>3</v>
      </c>
      <c r="N34">
        <v>3</v>
      </c>
      <c r="O34" t="s">
        <v>120</v>
      </c>
      <c r="P34" t="s">
        <v>69</v>
      </c>
      <c r="Q34" t="s">
        <v>87</v>
      </c>
      <c r="R34" t="s">
        <v>88</v>
      </c>
      <c r="S34" t="s">
        <v>38</v>
      </c>
      <c r="T34">
        <v>3</v>
      </c>
      <c r="U34">
        <v>3</v>
      </c>
      <c r="V34">
        <v>3</v>
      </c>
      <c r="W34" t="s">
        <v>152</v>
      </c>
      <c r="X34" t="s">
        <v>96</v>
      </c>
      <c r="Y34" t="s">
        <v>153</v>
      </c>
      <c r="Z34" t="s">
        <v>156</v>
      </c>
      <c r="AA34">
        <v>0</v>
      </c>
      <c r="AB34">
        <v>35</v>
      </c>
    </row>
    <row r="35" spans="1:28" x14ac:dyDescent="0.4">
      <c r="A35" t="s">
        <v>719</v>
      </c>
      <c r="B35">
        <v>33</v>
      </c>
      <c r="C35" t="s">
        <v>45</v>
      </c>
      <c r="D35">
        <v>3</v>
      </c>
      <c r="F35">
        <v>3</v>
      </c>
      <c r="G35" t="s">
        <v>86</v>
      </c>
      <c r="H35" t="s">
        <v>141</v>
      </c>
      <c r="I35" t="s">
        <v>93</v>
      </c>
      <c r="J35" t="s">
        <v>143</v>
      </c>
      <c r="K35" t="s">
        <v>56</v>
      </c>
      <c r="L35">
        <v>1</v>
      </c>
      <c r="N35">
        <v>3</v>
      </c>
      <c r="O35" t="s">
        <v>120</v>
      </c>
      <c r="P35" t="s">
        <v>69</v>
      </c>
      <c r="Q35" t="s">
        <v>87</v>
      </c>
      <c r="S35" t="s">
        <v>63</v>
      </c>
      <c r="T35">
        <v>3</v>
      </c>
      <c r="V35">
        <v>3</v>
      </c>
      <c r="W35" t="s">
        <v>72</v>
      </c>
      <c r="X35" t="s">
        <v>146</v>
      </c>
      <c r="Y35" t="s">
        <v>148</v>
      </c>
      <c r="Z35" t="s">
        <v>150</v>
      </c>
      <c r="AA35">
        <v>0</v>
      </c>
      <c r="AB35">
        <v>22</v>
      </c>
    </row>
    <row r="36" spans="1:28" x14ac:dyDescent="0.4">
      <c r="A36" t="s">
        <v>720</v>
      </c>
      <c r="B36">
        <v>34</v>
      </c>
      <c r="C36" t="s">
        <v>45</v>
      </c>
      <c r="D36">
        <v>3</v>
      </c>
      <c r="F36">
        <v>3</v>
      </c>
      <c r="G36" t="s">
        <v>86</v>
      </c>
      <c r="H36" t="s">
        <v>76</v>
      </c>
      <c r="I36" t="s">
        <v>142</v>
      </c>
      <c r="J36" t="s">
        <v>144</v>
      </c>
      <c r="K36" t="s">
        <v>56</v>
      </c>
      <c r="L36">
        <v>3</v>
      </c>
      <c r="N36">
        <v>3</v>
      </c>
      <c r="O36" t="s">
        <v>120</v>
      </c>
      <c r="P36" t="s">
        <v>69</v>
      </c>
      <c r="Q36" t="s">
        <v>87</v>
      </c>
      <c r="R36" t="s">
        <v>88</v>
      </c>
      <c r="S36" t="s">
        <v>38</v>
      </c>
      <c r="T36">
        <v>3</v>
      </c>
      <c r="U36">
        <v>3</v>
      </c>
      <c r="V36">
        <v>3</v>
      </c>
      <c r="W36" t="s">
        <v>67</v>
      </c>
      <c r="X36" t="s">
        <v>96</v>
      </c>
      <c r="Y36" t="s">
        <v>153</v>
      </c>
      <c r="Z36" t="s">
        <v>156</v>
      </c>
      <c r="AA36">
        <v>0</v>
      </c>
      <c r="AB36">
        <v>49</v>
      </c>
    </row>
    <row r="37" spans="1:28" x14ac:dyDescent="0.4">
      <c r="A37" t="s">
        <v>721</v>
      </c>
      <c r="B37">
        <v>35</v>
      </c>
      <c r="C37" t="s">
        <v>63</v>
      </c>
      <c r="D37">
        <v>3</v>
      </c>
      <c r="F37">
        <v>3</v>
      </c>
      <c r="G37" t="s">
        <v>103</v>
      </c>
      <c r="H37" t="s">
        <v>146</v>
      </c>
      <c r="I37" t="s">
        <v>104</v>
      </c>
      <c r="J37" t="s">
        <v>150</v>
      </c>
      <c r="K37" t="s">
        <v>56</v>
      </c>
      <c r="L37">
        <v>3</v>
      </c>
      <c r="N37">
        <v>3</v>
      </c>
      <c r="O37" t="s">
        <v>57</v>
      </c>
      <c r="P37" t="s">
        <v>69</v>
      </c>
      <c r="Q37" t="s">
        <v>87</v>
      </c>
      <c r="R37" t="s">
        <v>88</v>
      </c>
      <c r="S37" t="s">
        <v>38</v>
      </c>
      <c r="T37">
        <v>3</v>
      </c>
      <c r="U37">
        <v>3</v>
      </c>
      <c r="V37">
        <v>3</v>
      </c>
      <c r="W37" t="s">
        <v>67</v>
      </c>
      <c r="X37" t="s">
        <v>96</v>
      </c>
      <c r="Y37" t="s">
        <v>153</v>
      </c>
      <c r="Z37" t="s">
        <v>156</v>
      </c>
      <c r="AA37">
        <v>0</v>
      </c>
      <c r="AB37">
        <v>79</v>
      </c>
    </row>
    <row r="38" spans="1:28" x14ac:dyDescent="0.4">
      <c r="A38" t="s">
        <v>722</v>
      </c>
      <c r="B38">
        <v>36</v>
      </c>
      <c r="C38" t="s">
        <v>43</v>
      </c>
      <c r="D38">
        <v>2</v>
      </c>
      <c r="F38">
        <v>2</v>
      </c>
      <c r="G38" t="s">
        <v>44</v>
      </c>
      <c r="H38" t="s">
        <v>136</v>
      </c>
      <c r="I38" t="s">
        <v>137</v>
      </c>
      <c r="J38" t="s">
        <v>101</v>
      </c>
      <c r="K38" t="s">
        <v>48</v>
      </c>
      <c r="L38">
        <v>3</v>
      </c>
      <c r="N38">
        <v>2</v>
      </c>
      <c r="O38" t="s">
        <v>126</v>
      </c>
      <c r="P38" t="s">
        <v>71</v>
      </c>
      <c r="Q38" t="s">
        <v>127</v>
      </c>
      <c r="S38" t="s">
        <v>33</v>
      </c>
      <c r="T38">
        <v>2</v>
      </c>
      <c r="V38">
        <v>1</v>
      </c>
      <c r="W38" t="s">
        <v>34</v>
      </c>
      <c r="X38" t="s">
        <v>130</v>
      </c>
      <c r="Y38" t="s">
        <v>132</v>
      </c>
      <c r="Z38" t="s">
        <v>133</v>
      </c>
      <c r="AA38">
        <v>0</v>
      </c>
      <c r="AB38">
        <v>18</v>
      </c>
    </row>
    <row r="39" spans="1:28" x14ac:dyDescent="0.4">
      <c r="A39" t="s">
        <v>723</v>
      </c>
      <c r="B39">
        <v>37</v>
      </c>
      <c r="C39" t="s">
        <v>45</v>
      </c>
      <c r="D39">
        <v>3</v>
      </c>
      <c r="F39">
        <v>3</v>
      </c>
      <c r="G39" t="s">
        <v>47</v>
      </c>
      <c r="H39" t="s">
        <v>76</v>
      </c>
      <c r="I39" t="s">
        <v>142</v>
      </c>
      <c r="J39" t="s">
        <v>143</v>
      </c>
      <c r="K39" t="s">
        <v>48</v>
      </c>
      <c r="L39">
        <v>1</v>
      </c>
      <c r="N39">
        <v>3</v>
      </c>
      <c r="O39" t="s">
        <v>126</v>
      </c>
      <c r="P39" t="s">
        <v>71</v>
      </c>
      <c r="Q39" t="s">
        <v>51</v>
      </c>
      <c r="S39" t="s">
        <v>33</v>
      </c>
      <c r="T39">
        <v>3</v>
      </c>
      <c r="V39">
        <v>3</v>
      </c>
      <c r="W39" t="s">
        <v>34</v>
      </c>
      <c r="X39" t="s">
        <v>130</v>
      </c>
      <c r="Y39" t="s">
        <v>131</v>
      </c>
      <c r="Z39" t="s">
        <v>133</v>
      </c>
      <c r="AA39">
        <v>0</v>
      </c>
      <c r="AB39">
        <v>22</v>
      </c>
    </row>
    <row r="40" spans="1:28" x14ac:dyDescent="0.4">
      <c r="A40" t="s">
        <v>724</v>
      </c>
      <c r="B40">
        <v>38</v>
      </c>
      <c r="C40" t="s">
        <v>48</v>
      </c>
      <c r="D40">
        <v>3</v>
      </c>
      <c r="F40">
        <v>3</v>
      </c>
      <c r="G40" t="s">
        <v>126</v>
      </c>
      <c r="H40" t="s">
        <v>71</v>
      </c>
      <c r="I40" t="s">
        <v>127</v>
      </c>
      <c r="J40" t="s">
        <v>128</v>
      </c>
      <c r="K40" t="s">
        <v>33</v>
      </c>
      <c r="L40">
        <v>3</v>
      </c>
      <c r="N40">
        <v>3</v>
      </c>
      <c r="O40" t="s">
        <v>34</v>
      </c>
      <c r="P40" t="s">
        <v>130</v>
      </c>
      <c r="Q40" t="s">
        <v>132</v>
      </c>
      <c r="R40" t="s">
        <v>133</v>
      </c>
      <c r="S40" t="s">
        <v>63</v>
      </c>
      <c r="T40">
        <v>3</v>
      </c>
      <c r="V40">
        <v>3</v>
      </c>
      <c r="W40" t="s">
        <v>72</v>
      </c>
      <c r="X40" t="s">
        <v>95</v>
      </c>
      <c r="Y40" t="s">
        <v>148</v>
      </c>
      <c r="Z40" t="s">
        <v>149</v>
      </c>
      <c r="AA40">
        <v>0</v>
      </c>
      <c r="AB40">
        <v>27</v>
      </c>
    </row>
    <row r="41" spans="1:28" x14ac:dyDescent="0.4">
      <c r="A41" t="s">
        <v>725</v>
      </c>
      <c r="B41">
        <v>39</v>
      </c>
      <c r="C41" t="s">
        <v>48</v>
      </c>
      <c r="D41">
        <v>3</v>
      </c>
      <c r="F41">
        <v>1</v>
      </c>
      <c r="G41" t="s">
        <v>126</v>
      </c>
      <c r="H41" t="s">
        <v>50</v>
      </c>
      <c r="I41" t="s">
        <v>127</v>
      </c>
      <c r="J41" t="s">
        <v>128</v>
      </c>
      <c r="K41" t="s">
        <v>33</v>
      </c>
      <c r="L41">
        <v>1</v>
      </c>
      <c r="N41">
        <v>3</v>
      </c>
      <c r="O41" t="s">
        <v>34</v>
      </c>
      <c r="P41" t="s">
        <v>130</v>
      </c>
      <c r="Q41" t="s">
        <v>36</v>
      </c>
      <c r="R41" t="s">
        <v>134</v>
      </c>
      <c r="S41" t="s">
        <v>38</v>
      </c>
      <c r="T41">
        <v>1</v>
      </c>
      <c r="U41">
        <v>1</v>
      </c>
      <c r="V41">
        <v>2</v>
      </c>
      <c r="W41" t="s">
        <v>67</v>
      </c>
      <c r="X41" t="s">
        <v>96</v>
      </c>
      <c r="Y41" t="s">
        <v>153</v>
      </c>
      <c r="AA41">
        <v>0</v>
      </c>
      <c r="AB41">
        <v>16</v>
      </c>
    </row>
    <row r="42" spans="1:28" x14ac:dyDescent="0.4">
      <c r="A42" t="s">
        <v>726</v>
      </c>
      <c r="B42">
        <v>40</v>
      </c>
      <c r="C42" t="s">
        <v>48</v>
      </c>
      <c r="D42">
        <v>1</v>
      </c>
      <c r="F42">
        <v>2</v>
      </c>
      <c r="G42" t="s">
        <v>126</v>
      </c>
      <c r="H42" t="s">
        <v>71</v>
      </c>
      <c r="I42" t="s">
        <v>51</v>
      </c>
      <c r="K42" t="s">
        <v>43</v>
      </c>
      <c r="L42">
        <v>1</v>
      </c>
      <c r="N42">
        <v>1</v>
      </c>
      <c r="O42" t="s">
        <v>44</v>
      </c>
      <c r="P42" t="s">
        <v>136</v>
      </c>
      <c r="Q42" t="s">
        <v>137</v>
      </c>
      <c r="R42" t="s">
        <v>138</v>
      </c>
      <c r="S42" t="s">
        <v>45</v>
      </c>
      <c r="T42">
        <v>3</v>
      </c>
      <c r="V42">
        <v>1</v>
      </c>
      <c r="W42" t="s">
        <v>86</v>
      </c>
      <c r="AA42">
        <v>0</v>
      </c>
      <c r="AB42">
        <v>12</v>
      </c>
    </row>
    <row r="43" spans="1:28" x14ac:dyDescent="0.4">
      <c r="A43" t="s">
        <v>727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136</v>
      </c>
      <c r="I43" t="s">
        <v>137</v>
      </c>
      <c r="J43" t="s">
        <v>138</v>
      </c>
      <c r="K43" t="s">
        <v>48</v>
      </c>
      <c r="L43">
        <v>3</v>
      </c>
      <c r="N43">
        <v>3</v>
      </c>
      <c r="O43" t="s">
        <v>126</v>
      </c>
      <c r="P43" t="s">
        <v>71</v>
      </c>
      <c r="Q43" t="s">
        <v>127</v>
      </c>
      <c r="R43" t="s">
        <v>128</v>
      </c>
      <c r="S43" t="s">
        <v>63</v>
      </c>
      <c r="T43">
        <v>3</v>
      </c>
      <c r="V43">
        <v>3</v>
      </c>
      <c r="W43" t="s">
        <v>72</v>
      </c>
      <c r="X43" t="s">
        <v>146</v>
      </c>
      <c r="Y43" t="s">
        <v>148</v>
      </c>
      <c r="Z43" t="s">
        <v>150</v>
      </c>
      <c r="AA43">
        <v>0</v>
      </c>
      <c r="AB43">
        <v>53</v>
      </c>
    </row>
    <row r="44" spans="1:28" x14ac:dyDescent="0.4">
      <c r="A44" t="s">
        <v>728</v>
      </c>
      <c r="B44">
        <v>42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3</v>
      </c>
      <c r="O44" t="s">
        <v>126</v>
      </c>
      <c r="P44" t="s">
        <v>71</v>
      </c>
      <c r="Q44" t="s">
        <v>51</v>
      </c>
      <c r="R44" t="s">
        <v>128</v>
      </c>
      <c r="S44" t="s">
        <v>38</v>
      </c>
      <c r="T44">
        <v>3</v>
      </c>
      <c r="U44">
        <v>3</v>
      </c>
      <c r="V44">
        <v>3</v>
      </c>
      <c r="W44" t="s">
        <v>67</v>
      </c>
      <c r="X44" t="s">
        <v>96</v>
      </c>
      <c r="Y44" t="s">
        <v>41</v>
      </c>
      <c r="Z44" t="s">
        <v>156</v>
      </c>
      <c r="AA44">
        <v>0</v>
      </c>
      <c r="AB44">
        <v>36</v>
      </c>
    </row>
    <row r="45" spans="1:28" x14ac:dyDescent="0.4">
      <c r="A45" t="s">
        <v>729</v>
      </c>
      <c r="B45">
        <v>43</v>
      </c>
      <c r="C45" t="s">
        <v>45</v>
      </c>
      <c r="D45">
        <v>3</v>
      </c>
      <c r="F45">
        <v>3</v>
      </c>
      <c r="G45" t="s">
        <v>86</v>
      </c>
      <c r="H45" t="s">
        <v>141</v>
      </c>
      <c r="I45" t="s">
        <v>93</v>
      </c>
      <c r="J45" t="s">
        <v>143</v>
      </c>
      <c r="K45" t="s">
        <v>48</v>
      </c>
      <c r="L45">
        <v>2</v>
      </c>
      <c r="N45">
        <v>3</v>
      </c>
      <c r="O45" t="s">
        <v>126</v>
      </c>
      <c r="P45" t="s">
        <v>71</v>
      </c>
      <c r="Q45" t="s">
        <v>51</v>
      </c>
      <c r="R45" t="s">
        <v>128</v>
      </c>
      <c r="S45" t="s">
        <v>63</v>
      </c>
      <c r="T45">
        <v>3</v>
      </c>
      <c r="V45">
        <v>3</v>
      </c>
      <c r="W45" t="s">
        <v>72</v>
      </c>
      <c r="X45" t="s">
        <v>146</v>
      </c>
      <c r="Y45" t="s">
        <v>148</v>
      </c>
      <c r="Z45" t="s">
        <v>150</v>
      </c>
      <c r="AA45">
        <v>0</v>
      </c>
      <c r="AB45">
        <v>28</v>
      </c>
    </row>
    <row r="46" spans="1:28" x14ac:dyDescent="0.4">
      <c r="A46" t="s">
        <v>730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90</v>
      </c>
      <c r="J46" t="s">
        <v>128</v>
      </c>
      <c r="K46" t="s">
        <v>45</v>
      </c>
      <c r="L46">
        <v>3</v>
      </c>
      <c r="N46">
        <v>1</v>
      </c>
      <c r="O46" t="s">
        <v>86</v>
      </c>
      <c r="P46" t="s">
        <v>76</v>
      </c>
      <c r="Q46" t="s">
        <v>93</v>
      </c>
      <c r="S46" t="s">
        <v>38</v>
      </c>
      <c r="T46">
        <v>3</v>
      </c>
      <c r="U46">
        <v>3</v>
      </c>
      <c r="V46">
        <v>2</v>
      </c>
      <c r="W46" t="s">
        <v>67</v>
      </c>
      <c r="X46" t="s">
        <v>96</v>
      </c>
      <c r="Y46" t="s">
        <v>153</v>
      </c>
      <c r="Z46" t="s">
        <v>156</v>
      </c>
      <c r="AA46">
        <v>0</v>
      </c>
      <c r="AB46">
        <v>23</v>
      </c>
    </row>
    <row r="47" spans="1:28" x14ac:dyDescent="0.4">
      <c r="A47" t="s">
        <v>731</v>
      </c>
      <c r="B47">
        <v>45</v>
      </c>
      <c r="C47" t="s">
        <v>63</v>
      </c>
      <c r="D47">
        <v>3</v>
      </c>
      <c r="F47">
        <v>3</v>
      </c>
      <c r="G47" t="s">
        <v>72</v>
      </c>
      <c r="H47" t="s">
        <v>95</v>
      </c>
      <c r="I47" t="s">
        <v>148</v>
      </c>
      <c r="J47" t="s">
        <v>149</v>
      </c>
      <c r="K47" t="s">
        <v>48</v>
      </c>
      <c r="L47">
        <v>3</v>
      </c>
      <c r="N47">
        <v>3</v>
      </c>
      <c r="O47" t="s">
        <v>126</v>
      </c>
      <c r="P47" t="s">
        <v>71</v>
      </c>
      <c r="Q47" t="s">
        <v>127</v>
      </c>
      <c r="R47" t="s">
        <v>128</v>
      </c>
      <c r="S47" t="s">
        <v>38</v>
      </c>
      <c r="T47">
        <v>3</v>
      </c>
      <c r="U47">
        <v>3</v>
      </c>
      <c r="V47">
        <v>3</v>
      </c>
      <c r="W47" t="s">
        <v>67</v>
      </c>
      <c r="X47" t="s">
        <v>96</v>
      </c>
      <c r="Y47" t="s">
        <v>153</v>
      </c>
      <c r="Z47" t="s">
        <v>156</v>
      </c>
      <c r="AA47">
        <v>0</v>
      </c>
      <c r="AB47">
        <v>40</v>
      </c>
    </row>
    <row r="48" spans="1:28" x14ac:dyDescent="0.4">
      <c r="A48" t="s">
        <v>732</v>
      </c>
      <c r="B48">
        <v>46</v>
      </c>
      <c r="C48" t="s">
        <v>45</v>
      </c>
      <c r="D48">
        <v>3</v>
      </c>
      <c r="F48">
        <v>1</v>
      </c>
      <c r="G48" t="s">
        <v>140</v>
      </c>
      <c r="H48" t="s">
        <v>92</v>
      </c>
      <c r="I48" t="s">
        <v>142</v>
      </c>
      <c r="K48" t="s">
        <v>33</v>
      </c>
      <c r="L48">
        <v>2</v>
      </c>
      <c r="N48">
        <v>2</v>
      </c>
      <c r="O48" t="s">
        <v>34</v>
      </c>
      <c r="P48" t="s">
        <v>66</v>
      </c>
      <c r="S48" t="s">
        <v>43</v>
      </c>
      <c r="T48">
        <v>1</v>
      </c>
      <c r="V48">
        <v>1</v>
      </c>
      <c r="W48" t="s">
        <v>135</v>
      </c>
      <c r="X48" t="s">
        <v>136</v>
      </c>
      <c r="Y48" t="s">
        <v>137</v>
      </c>
      <c r="AA48">
        <v>0</v>
      </c>
      <c r="AB48">
        <v>12</v>
      </c>
    </row>
    <row r="49" spans="1:28" x14ac:dyDescent="0.4">
      <c r="A49" t="s">
        <v>733</v>
      </c>
      <c r="B49">
        <v>47</v>
      </c>
      <c r="C49" t="s">
        <v>63</v>
      </c>
      <c r="D49">
        <v>3</v>
      </c>
      <c r="F49">
        <v>1</v>
      </c>
      <c r="G49" t="s">
        <v>72</v>
      </c>
      <c r="H49" t="s">
        <v>146</v>
      </c>
      <c r="I49" t="s">
        <v>148</v>
      </c>
      <c r="K49" t="s">
        <v>33</v>
      </c>
      <c r="L49">
        <v>1</v>
      </c>
      <c r="N49">
        <v>1</v>
      </c>
      <c r="O49" t="s">
        <v>34</v>
      </c>
      <c r="S49" t="s">
        <v>43</v>
      </c>
      <c r="T49">
        <v>2</v>
      </c>
      <c r="V49">
        <v>1</v>
      </c>
      <c r="W49" t="s">
        <v>44</v>
      </c>
      <c r="X49" t="s">
        <v>99</v>
      </c>
      <c r="Y49" t="s">
        <v>137</v>
      </c>
      <c r="Z49" t="s">
        <v>139</v>
      </c>
      <c r="AA49">
        <v>0</v>
      </c>
      <c r="AB49">
        <v>11</v>
      </c>
    </row>
    <row r="50" spans="1:28" x14ac:dyDescent="0.4">
      <c r="A50" t="s">
        <v>734</v>
      </c>
      <c r="B50">
        <v>48</v>
      </c>
      <c r="C50" t="s">
        <v>38</v>
      </c>
      <c r="D50">
        <v>3</v>
      </c>
      <c r="E50">
        <v>3</v>
      </c>
      <c r="F50">
        <v>2</v>
      </c>
      <c r="G50" t="s">
        <v>67</v>
      </c>
      <c r="H50" t="s">
        <v>96</v>
      </c>
      <c r="I50" t="s">
        <v>153</v>
      </c>
      <c r="J50" t="s">
        <v>156</v>
      </c>
      <c r="K50" t="s">
        <v>33</v>
      </c>
      <c r="L50">
        <v>1</v>
      </c>
      <c r="N50">
        <v>3</v>
      </c>
      <c r="O50" t="s">
        <v>34</v>
      </c>
      <c r="P50" t="s">
        <v>66</v>
      </c>
      <c r="Q50" t="s">
        <v>131</v>
      </c>
      <c r="R50" t="s">
        <v>134</v>
      </c>
      <c r="S50" t="s">
        <v>43</v>
      </c>
      <c r="T50">
        <v>3</v>
      </c>
      <c r="V50">
        <v>3</v>
      </c>
      <c r="W50" t="s">
        <v>44</v>
      </c>
      <c r="X50" t="s">
        <v>136</v>
      </c>
      <c r="Y50" t="s">
        <v>137</v>
      </c>
      <c r="Z50" t="s">
        <v>138</v>
      </c>
      <c r="AA50">
        <v>0</v>
      </c>
      <c r="AB50">
        <v>23</v>
      </c>
    </row>
    <row r="51" spans="1:28" x14ac:dyDescent="0.4">
      <c r="A51" t="s">
        <v>735</v>
      </c>
      <c r="B51">
        <v>49</v>
      </c>
      <c r="C51" t="s">
        <v>45</v>
      </c>
      <c r="D51">
        <v>3</v>
      </c>
      <c r="F51">
        <v>2</v>
      </c>
      <c r="G51" t="s">
        <v>86</v>
      </c>
      <c r="H51" t="s">
        <v>141</v>
      </c>
      <c r="I51" t="s">
        <v>142</v>
      </c>
      <c r="J51" t="s">
        <v>144</v>
      </c>
      <c r="K51" t="s">
        <v>33</v>
      </c>
      <c r="L51">
        <v>2</v>
      </c>
      <c r="N51">
        <v>3</v>
      </c>
      <c r="O51" t="s">
        <v>34</v>
      </c>
      <c r="P51" t="s">
        <v>66</v>
      </c>
      <c r="Q51" t="s">
        <v>132</v>
      </c>
      <c r="R51" t="s">
        <v>133</v>
      </c>
      <c r="S51" t="s">
        <v>63</v>
      </c>
      <c r="T51">
        <v>1</v>
      </c>
      <c r="V51">
        <v>2</v>
      </c>
      <c r="W51" t="s">
        <v>145</v>
      </c>
      <c r="X51" t="s">
        <v>146</v>
      </c>
      <c r="Y51" t="s">
        <v>104</v>
      </c>
      <c r="AA51">
        <v>0</v>
      </c>
      <c r="AB51">
        <v>20</v>
      </c>
    </row>
    <row r="52" spans="1:28" x14ac:dyDescent="0.4">
      <c r="A52" t="s">
        <v>736</v>
      </c>
      <c r="B52">
        <v>50</v>
      </c>
      <c r="C52" t="s">
        <v>45</v>
      </c>
      <c r="D52">
        <v>3</v>
      </c>
      <c r="F52">
        <v>3</v>
      </c>
      <c r="G52" t="s">
        <v>140</v>
      </c>
      <c r="H52" t="s">
        <v>76</v>
      </c>
      <c r="I52" t="s">
        <v>142</v>
      </c>
      <c r="J52" t="s">
        <v>144</v>
      </c>
      <c r="K52" t="s">
        <v>33</v>
      </c>
      <c r="L52">
        <v>1</v>
      </c>
      <c r="N52">
        <v>3</v>
      </c>
      <c r="O52" t="s">
        <v>34</v>
      </c>
      <c r="P52" t="s">
        <v>66</v>
      </c>
      <c r="Q52" t="s">
        <v>131</v>
      </c>
      <c r="R52" t="s">
        <v>37</v>
      </c>
      <c r="S52" t="s">
        <v>38</v>
      </c>
      <c r="T52">
        <v>3</v>
      </c>
      <c r="U52">
        <v>3</v>
      </c>
      <c r="V52">
        <v>3</v>
      </c>
      <c r="W52" t="s">
        <v>67</v>
      </c>
      <c r="X52" t="s">
        <v>96</v>
      </c>
      <c r="Y52" t="s">
        <v>153</v>
      </c>
      <c r="Z52" t="s">
        <v>156</v>
      </c>
      <c r="AA52">
        <v>0</v>
      </c>
      <c r="AB52">
        <v>36</v>
      </c>
    </row>
    <row r="53" spans="1:28" x14ac:dyDescent="0.4">
      <c r="A53" t="s">
        <v>737</v>
      </c>
      <c r="B53">
        <v>51</v>
      </c>
      <c r="C53" t="s">
        <v>63</v>
      </c>
      <c r="D53">
        <v>3</v>
      </c>
      <c r="F53">
        <v>2</v>
      </c>
      <c r="G53" t="s">
        <v>72</v>
      </c>
      <c r="H53" t="s">
        <v>146</v>
      </c>
      <c r="I53" t="s">
        <v>147</v>
      </c>
      <c r="J53" t="s">
        <v>151</v>
      </c>
      <c r="K53" t="s">
        <v>33</v>
      </c>
      <c r="L53">
        <v>2</v>
      </c>
      <c r="N53">
        <v>2</v>
      </c>
      <c r="O53" t="s">
        <v>34</v>
      </c>
      <c r="P53" t="s">
        <v>66</v>
      </c>
      <c r="Q53" t="s">
        <v>131</v>
      </c>
      <c r="S53" t="s">
        <v>38</v>
      </c>
      <c r="T53">
        <v>3</v>
      </c>
      <c r="U53">
        <v>3</v>
      </c>
      <c r="V53">
        <v>1</v>
      </c>
      <c r="W53" t="s">
        <v>67</v>
      </c>
      <c r="X53" t="s">
        <v>96</v>
      </c>
      <c r="Y53" t="s">
        <v>153</v>
      </c>
      <c r="Z53" t="s">
        <v>156</v>
      </c>
      <c r="AA53">
        <v>0</v>
      </c>
      <c r="AB53">
        <v>21</v>
      </c>
    </row>
    <row r="54" spans="1:28" x14ac:dyDescent="0.4">
      <c r="A54" t="s">
        <v>738</v>
      </c>
      <c r="B54">
        <v>52</v>
      </c>
      <c r="C54" t="s">
        <v>63</v>
      </c>
      <c r="D54">
        <v>2</v>
      </c>
      <c r="F54">
        <v>3</v>
      </c>
      <c r="G54" t="s">
        <v>145</v>
      </c>
      <c r="H54" t="s">
        <v>146</v>
      </c>
      <c r="I54" t="s">
        <v>104</v>
      </c>
      <c r="J54" t="s">
        <v>150</v>
      </c>
      <c r="K54" t="s">
        <v>43</v>
      </c>
      <c r="L54">
        <v>1</v>
      </c>
      <c r="N54">
        <v>3</v>
      </c>
      <c r="O54" t="s">
        <v>44</v>
      </c>
      <c r="P54" t="s">
        <v>136</v>
      </c>
      <c r="Q54" t="s">
        <v>137</v>
      </c>
      <c r="S54" t="s">
        <v>45</v>
      </c>
      <c r="T54">
        <v>3</v>
      </c>
      <c r="V54">
        <v>2</v>
      </c>
      <c r="W54" t="s">
        <v>86</v>
      </c>
      <c r="X54" t="s">
        <v>141</v>
      </c>
      <c r="Y54" t="s">
        <v>93</v>
      </c>
      <c r="Z54" t="s">
        <v>94</v>
      </c>
      <c r="AA54">
        <v>0</v>
      </c>
      <c r="AB54">
        <v>20</v>
      </c>
    </row>
    <row r="55" spans="1:28" x14ac:dyDescent="0.4">
      <c r="A55" t="s">
        <v>739</v>
      </c>
      <c r="B55">
        <v>53</v>
      </c>
      <c r="C55" t="s">
        <v>38</v>
      </c>
      <c r="D55">
        <v>2</v>
      </c>
      <c r="E55">
        <v>1</v>
      </c>
      <c r="F55">
        <v>2</v>
      </c>
      <c r="G55" t="s">
        <v>67</v>
      </c>
      <c r="H55" t="s">
        <v>96</v>
      </c>
      <c r="I55" t="s">
        <v>153</v>
      </c>
      <c r="K55" t="s">
        <v>43</v>
      </c>
      <c r="L55">
        <v>1</v>
      </c>
      <c r="N55">
        <v>1</v>
      </c>
      <c r="O55" t="s">
        <v>44</v>
      </c>
      <c r="P55" t="s">
        <v>136</v>
      </c>
      <c r="Q55" t="s">
        <v>137</v>
      </c>
      <c r="R55" t="s">
        <v>138</v>
      </c>
      <c r="S55" t="s">
        <v>45</v>
      </c>
      <c r="T55">
        <v>3</v>
      </c>
      <c r="V55">
        <v>1</v>
      </c>
      <c r="W55" t="s">
        <v>140</v>
      </c>
      <c r="AA55">
        <v>0</v>
      </c>
      <c r="AB55">
        <v>13</v>
      </c>
    </row>
    <row r="56" spans="1:28" x14ac:dyDescent="0.4">
      <c r="A56" t="s">
        <v>740</v>
      </c>
      <c r="B56">
        <v>54</v>
      </c>
      <c r="C56" t="s">
        <v>43</v>
      </c>
      <c r="D56">
        <v>3</v>
      </c>
      <c r="F56">
        <v>3</v>
      </c>
      <c r="G56" t="s">
        <v>44</v>
      </c>
      <c r="H56" t="s">
        <v>99</v>
      </c>
      <c r="I56" t="s">
        <v>137</v>
      </c>
      <c r="J56" t="s">
        <v>139</v>
      </c>
      <c r="K56" t="s">
        <v>63</v>
      </c>
      <c r="L56">
        <v>3</v>
      </c>
      <c r="N56">
        <v>3</v>
      </c>
      <c r="O56" t="s">
        <v>72</v>
      </c>
      <c r="P56" t="s">
        <v>146</v>
      </c>
      <c r="Q56" t="s">
        <v>148</v>
      </c>
      <c r="R56" t="s">
        <v>151</v>
      </c>
      <c r="S56" t="s">
        <v>38</v>
      </c>
      <c r="T56">
        <v>3</v>
      </c>
      <c r="U56">
        <v>3</v>
      </c>
      <c r="V56">
        <v>3</v>
      </c>
      <c r="W56" t="s">
        <v>67</v>
      </c>
      <c r="X56" t="s">
        <v>96</v>
      </c>
      <c r="Y56" t="s">
        <v>153</v>
      </c>
      <c r="Z56" t="s">
        <v>156</v>
      </c>
      <c r="AA56">
        <v>0</v>
      </c>
      <c r="AB56">
        <v>45</v>
      </c>
    </row>
    <row r="57" spans="1:28" x14ac:dyDescent="0.4">
      <c r="A57" t="s">
        <v>741</v>
      </c>
      <c r="B57">
        <v>55</v>
      </c>
      <c r="C57" t="s">
        <v>63</v>
      </c>
      <c r="D57">
        <v>3</v>
      </c>
      <c r="F57">
        <v>3</v>
      </c>
      <c r="G57" t="s">
        <v>145</v>
      </c>
      <c r="H57" t="s">
        <v>146</v>
      </c>
      <c r="I57" t="s">
        <v>104</v>
      </c>
      <c r="J57" t="s">
        <v>150</v>
      </c>
      <c r="K57" t="s">
        <v>45</v>
      </c>
      <c r="L57">
        <v>3</v>
      </c>
      <c r="N57">
        <v>3</v>
      </c>
      <c r="O57" t="s">
        <v>86</v>
      </c>
      <c r="P57" t="s">
        <v>141</v>
      </c>
      <c r="Q57" t="s">
        <v>93</v>
      </c>
      <c r="R57" t="s">
        <v>143</v>
      </c>
      <c r="S57" t="s">
        <v>38</v>
      </c>
      <c r="T57">
        <v>3</v>
      </c>
      <c r="U57">
        <v>2</v>
      </c>
      <c r="V57">
        <v>3</v>
      </c>
      <c r="W57" t="s">
        <v>67</v>
      </c>
      <c r="X57" t="s">
        <v>96</v>
      </c>
      <c r="Y57" t="s">
        <v>153</v>
      </c>
      <c r="Z57" t="s">
        <v>156</v>
      </c>
      <c r="AA57">
        <v>0</v>
      </c>
      <c r="AB57">
        <v>33</v>
      </c>
    </row>
  </sheetData>
  <phoneticPr fontId="3" type="noConversion"/>
  <conditionalFormatting sqref="B1:B1048576">
    <cfRule type="duplicateValues" dxfId="37" priority="1"/>
  </conditionalFormatting>
  <conditionalFormatting sqref="A2:B57">
    <cfRule type="duplicateValues" dxfId="36" priority="6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O7" sqref="O7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10.3828125" bestFit="1" customWidth="1"/>
    <col min="6" max="6" width="12.61328125" customWidth="1"/>
    <col min="7" max="7" width="8.765625" bestFit="1" customWidth="1"/>
    <col min="9" max="9" width="10.3828125" bestFit="1" customWidth="1"/>
    <col min="10" max="10" width="8.765625" bestFit="1" customWidth="1"/>
    <col min="11" max="11" width="6.84375" bestFit="1" customWidth="1"/>
    <col min="12" max="12" width="10.07421875" bestFit="1" customWidth="1"/>
    <col min="14" max="14" width="25.15234375" bestFit="1" customWidth="1"/>
    <col min="15" max="15" width="4.3828125" bestFit="1" customWidth="1"/>
    <col min="17" max="17" width="9.3046875" bestFit="1" customWidth="1"/>
  </cols>
  <sheetData>
    <row r="1" spans="1:15" ht="15" thickBot="1" x14ac:dyDescent="0.45">
      <c r="A1" s="41" t="s">
        <v>78</v>
      </c>
      <c r="B1" s="42"/>
      <c r="C1" s="42"/>
      <c r="D1" s="42"/>
      <c r="E1" s="42"/>
      <c r="F1" s="42"/>
      <c r="G1" s="43"/>
      <c r="I1" s="41" t="s">
        <v>82</v>
      </c>
      <c r="J1" s="42"/>
      <c r="K1" s="42"/>
      <c r="L1" s="43"/>
      <c r="N1" s="5" t="s">
        <v>157</v>
      </c>
      <c r="O1" s="36">
        <f>MIN(Scenario3[crystals])</f>
        <v>0</v>
      </c>
    </row>
    <row r="2" spans="1:15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397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5" t="s">
        <v>107</v>
      </c>
      <c r="O2" s="36">
        <f>AVERAGE(Scenario3[crystals])</f>
        <v>0</v>
      </c>
    </row>
    <row r="3" spans="1:15" ht="15" thickBot="1" x14ac:dyDescent="0.45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3" s="3">
        <f>IF(ScenarioTeams3[[#This Row],[battles]],ScenarioTeams3[[#This Row],[wins]]/ScenarioTeams3[[#This Row],[battles]],0)</f>
        <v>0.47619047619047616</v>
      </c>
      <c r="N3" s="5" t="s">
        <v>159</v>
      </c>
      <c r="O3" s="36">
        <f>MAX(Scenario3[crystals])</f>
        <v>0</v>
      </c>
    </row>
    <row r="4" spans="1:15" ht="15" thickBot="1" x14ac:dyDescent="0.45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4" s="3">
        <f>IF(ScenarioTeams3[[#This Row],[battles]],ScenarioTeams3[[#This Row],[wins]]/ScenarioTeams3[[#This Row],[battles]],0)</f>
        <v>0.33333333333333331</v>
      </c>
      <c r="O4" s="8"/>
    </row>
    <row r="5" spans="1:15" ht="15" thickBot="1" x14ac:dyDescent="0.45">
      <c r="A5" t="s">
        <v>53</v>
      </c>
      <c r="B5">
        <f>COUNTIFS(Scenario3[winner1],ScenarioStat3[[#This Row],[hero-1]],Scenario3[loser1],ScenarioStat3[[#This Row],[hero-2]],Scenario3[loser2],ScenarioStat3[[#This Row],[hero-3]])</f>
        <v>1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5" s="3">
        <f>IF(ScenarioTeams3[[#This Row],[battles]],ScenarioTeams3[[#This Row],[wins]]/ScenarioTeams3[[#This Row],[battles]],0)</f>
        <v>0.2857142857142857</v>
      </c>
      <c r="N5" s="5" t="s">
        <v>158</v>
      </c>
      <c r="O5" s="36">
        <f>MIN(Scenario3[turns])</f>
        <v>11</v>
      </c>
    </row>
    <row r="6" spans="1:15" ht="15" thickBot="1" x14ac:dyDescent="0.45">
      <c r="A6" t="s">
        <v>53</v>
      </c>
      <c r="B6">
        <f>COUNTIFS(Scenario3[winner1],ScenarioStat3[[#This Row],[hero-1]],Scenario3[loser1],ScenarioStat3[[#This Row],[hero-2]],Scenario3[loser2],ScenarioStat3[[#This Row],[hero-3]])</f>
        <v>1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6" s="3">
        <f>IF(ScenarioTeams3[[#This Row],[battles]],ScenarioTeams3[[#This Row],[wins]]/ScenarioTeams3[[#This Row],[battles]],0)</f>
        <v>0.19047619047619047</v>
      </c>
      <c r="N6" s="6" t="s">
        <v>108</v>
      </c>
      <c r="O6" s="37">
        <f>AVERAGE(Scenario3[turns])</f>
        <v>28.946428571428573</v>
      </c>
    </row>
    <row r="7" spans="1:15" ht="15" thickBot="1" x14ac:dyDescent="0.45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7" s="3">
        <f>IF(ScenarioTeams3[[#This Row],[battles]],ScenarioTeams3[[#This Row],[wins]]/ScenarioTeams3[[#This Row],[battles]],0)</f>
        <v>0.33333333333333331</v>
      </c>
      <c r="N7" s="6" t="s">
        <v>160</v>
      </c>
      <c r="O7" s="37">
        <f>MAX(Scenario3[turns])</f>
        <v>79</v>
      </c>
    </row>
    <row r="8" spans="1:15" ht="15" thickBot="1" x14ac:dyDescent="0.45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8" s="3">
        <f>IF(ScenarioTeams3[[#This Row],[battles]],ScenarioTeams3[[#This Row],[wins]]/ScenarioTeams3[[#This Row],[battles]],0)</f>
        <v>0.38095238095238093</v>
      </c>
    </row>
    <row r="9" spans="1:15" ht="15" thickBot="1" x14ac:dyDescent="0.45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9" s="3">
        <f>IF(ScenarioTeams3[[#This Row],[battles]],ScenarioTeams3[[#This Row],[wins]]/ScenarioTeams3[[#This Row],[battles]],0)</f>
        <v>0.47619047619047616</v>
      </c>
      <c r="N9" s="35" t="s">
        <v>395</v>
      </c>
      <c r="O9" s="36">
        <f>120000*$O$6/1000/60</f>
        <v>57.892857142857139</v>
      </c>
    </row>
    <row r="10" spans="1:15" ht="15" thickBot="1" x14ac:dyDescent="0.45">
      <c r="A10" t="s">
        <v>53</v>
      </c>
      <c r="B10" s="17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 s="17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 s="17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10" s="3">
        <f>IF(ScenarioTeams3[[#This Row],[battles]],ScenarioTeams3[[#This Row],[wins]]/ScenarioTeams3[[#This Row],[battles]],0)</f>
        <v>0.19047619047619047</v>
      </c>
      <c r="N10" s="34" t="s">
        <v>396</v>
      </c>
      <c r="O10" s="7">
        <f>O9*COUNTA(ScenarioStat3[hero-1])/60/24*2</f>
        <v>4.5027777777777773</v>
      </c>
    </row>
    <row r="11" spans="1:15" x14ac:dyDescent="0.4">
      <c r="A11" t="s">
        <v>53</v>
      </c>
      <c r="B11" s="17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 s="17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 s="17">
        <f>ScenarioStat3[[#This Row],[team-1-win]]+ScenarioStat3[[#This Row],[team-2-win]]+ScenarioStat3[[#This Row],[team-3-win]]</f>
        <v>1</v>
      </c>
    </row>
    <row r="12" spans="1:15" x14ac:dyDescent="0.4">
      <c r="A12" t="s">
        <v>53</v>
      </c>
      <c r="B12" s="17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 s="17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 s="17">
        <f>ScenarioStat3[[#This Row],[team-1-win]]+ScenarioStat3[[#This Row],[team-2-win]]+ScenarioStat3[[#This Row],[team-3-win]]</f>
        <v>1</v>
      </c>
    </row>
    <row r="13" spans="1:15" x14ac:dyDescent="0.4">
      <c r="A13" t="s">
        <v>53</v>
      </c>
      <c r="B13" s="17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 s="17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 s="17">
        <f>ScenarioStat3[[#This Row],[team-1-win]]+ScenarioStat3[[#This Row],[team-2-win]]+ScenarioStat3[[#This Row],[team-3-win]]</f>
        <v>1</v>
      </c>
    </row>
    <row r="14" spans="1:15" x14ac:dyDescent="0.4">
      <c r="A14" t="s">
        <v>53</v>
      </c>
      <c r="B14" s="17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 s="17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1</v>
      </c>
      <c r="G14" s="17">
        <f>ScenarioStat3[[#This Row],[team-1-win]]+ScenarioStat3[[#This Row],[team-2-win]]+ScenarioStat3[[#This Row],[team-3-win]]</f>
        <v>1</v>
      </c>
    </row>
    <row r="15" spans="1:15" x14ac:dyDescent="0.4">
      <c r="A15" t="s">
        <v>53</v>
      </c>
      <c r="B15" s="17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 s="17">
        <f>COUNTIFS(Scenario3[winner1],ScenarioStat3[[#This Row],[hero-2]],Scenario3[loser1],ScenarioStat3[[#This Row],[hero-1]],Scenario3[loser2],ScenarioStat3[[#This Row],[hero-3]])</f>
        <v>1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 s="17">
        <f>ScenarioStat3[[#This Row],[team-1-win]]+ScenarioStat3[[#This Row],[team-2-win]]+ScenarioStat3[[#This Row],[team-3-win]]</f>
        <v>1</v>
      </c>
    </row>
    <row r="16" spans="1:15" x14ac:dyDescent="0.4">
      <c r="A16" t="s">
        <v>53</v>
      </c>
      <c r="B16" s="17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 s="17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 s="17">
        <f>ScenarioStat3[[#This Row],[team-1-win]]+ScenarioStat3[[#This Row],[team-2-win]]+ScenarioStat3[[#This Row],[team-3-win]]</f>
        <v>1</v>
      </c>
    </row>
    <row r="17" spans="1:7" x14ac:dyDescent="0.4">
      <c r="A17" t="s">
        <v>53</v>
      </c>
      <c r="B17" s="17">
        <f>COUNTIFS(Scenario3[winner1],ScenarioStat3[[#This Row],[hero-1]],Scenario3[loser1],ScenarioStat3[[#This Row],[hero-2]],Scenario3[loser2],ScenarioStat3[[#This Row],[hero-3]])</f>
        <v>1</v>
      </c>
      <c r="C17" t="s">
        <v>33</v>
      </c>
      <c r="D17" s="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 s="17">
        <f>ScenarioStat3[[#This Row],[team-1-win]]+ScenarioStat3[[#This Row],[team-2-win]]+ScenarioStat3[[#This Row],[team-3-win]]</f>
        <v>1</v>
      </c>
    </row>
    <row r="18" spans="1:7" x14ac:dyDescent="0.4">
      <c r="A18" t="s">
        <v>53</v>
      </c>
      <c r="B18" s="17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 s="17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 s="17">
        <f>ScenarioStat3[[#This Row],[team-1-win]]+ScenarioStat3[[#This Row],[team-2-win]]+ScenarioStat3[[#This Row],[team-3-win]]</f>
        <v>1</v>
      </c>
    </row>
    <row r="19" spans="1:7" x14ac:dyDescent="0.4">
      <c r="A19" t="s">
        <v>53</v>
      </c>
      <c r="B19" s="17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 s="17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1</v>
      </c>
      <c r="G19" s="17">
        <f>ScenarioStat3[[#This Row],[team-1-win]]+ScenarioStat3[[#This Row],[team-2-win]]+ScenarioStat3[[#This Row],[team-3-win]]</f>
        <v>1</v>
      </c>
    </row>
    <row r="20" spans="1:7" x14ac:dyDescent="0.4">
      <c r="A20" t="s">
        <v>53</v>
      </c>
      <c r="B20" s="17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 s="17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1</v>
      </c>
      <c r="G20" s="17">
        <f>ScenarioStat3[[#This Row],[team-1-win]]+ScenarioStat3[[#This Row],[team-2-win]]+ScenarioStat3[[#This Row],[team-3-win]]</f>
        <v>1</v>
      </c>
    </row>
    <row r="21" spans="1:7" x14ac:dyDescent="0.4">
      <c r="A21" t="s">
        <v>53</v>
      </c>
      <c r="B21" s="17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 s="17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1</v>
      </c>
      <c r="G21" s="17">
        <f>ScenarioStat3[[#This Row],[team-1-win]]+ScenarioStat3[[#This Row],[team-2-win]]+ScenarioStat3[[#This Row],[team-3-win]]</f>
        <v>1</v>
      </c>
    </row>
    <row r="22" spans="1:7" x14ac:dyDescent="0.4">
      <c r="A22" t="s">
        <v>53</v>
      </c>
      <c r="B22" s="17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 s="17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 s="17">
        <f>ScenarioStat3[[#This Row],[team-1-win]]+ScenarioStat3[[#This Row],[team-2-win]]+ScenarioStat3[[#This Row],[team-3-win]]</f>
        <v>1</v>
      </c>
    </row>
    <row r="23" spans="1:7" x14ac:dyDescent="0.4">
      <c r="A23" t="s">
        <v>53</v>
      </c>
      <c r="B23" s="17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 s="17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 s="17">
        <f>ScenarioStat3[[#This Row],[team-1-win]]+ScenarioStat3[[#This Row],[team-2-win]]+ScenarioStat3[[#This Row],[team-3-win]]</f>
        <v>1</v>
      </c>
    </row>
    <row r="24" spans="1:7" x14ac:dyDescent="0.4">
      <c r="A24" t="s">
        <v>56</v>
      </c>
      <c r="B24" s="17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 s="17">
        <f>COUNTIFS(Scenario3[winner1],ScenarioStat3[[#This Row],[hero-2]],Scenario3[loser1],ScenarioStat3[[#This Row],[hero-1]],Scenario3[loser2],ScenarioStat3[[#This Row],[hero-3]])</f>
        <v>1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 s="17">
        <f>ScenarioStat3[[#This Row],[team-1-win]]+ScenarioStat3[[#This Row],[team-2-win]]+ScenarioStat3[[#This Row],[team-3-win]]</f>
        <v>1</v>
      </c>
    </row>
    <row r="25" spans="1:7" x14ac:dyDescent="0.4">
      <c r="A25" t="s">
        <v>56</v>
      </c>
      <c r="B25" s="17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 s="17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 s="17">
        <f>ScenarioStat3[[#This Row],[team-1-win]]+ScenarioStat3[[#This Row],[team-2-win]]+ScenarioStat3[[#This Row],[team-3-win]]</f>
        <v>1</v>
      </c>
    </row>
    <row r="26" spans="1:7" x14ac:dyDescent="0.4">
      <c r="A26" t="s">
        <v>56</v>
      </c>
      <c r="B26" s="17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 s="17">
        <f>COUNTIFS(Scenario3[winner1],ScenarioStat3[[#This Row],[hero-2]],Scenario3[loser1],ScenarioStat3[[#This Row],[hero-1]],Scenario3[loser2],ScenarioStat3[[#This Row],[hero-3]])</f>
        <v>1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 s="17">
        <f>ScenarioStat3[[#This Row],[team-1-win]]+ScenarioStat3[[#This Row],[team-2-win]]+ScenarioStat3[[#This Row],[team-3-win]]</f>
        <v>1</v>
      </c>
    </row>
    <row r="27" spans="1:7" x14ac:dyDescent="0.4">
      <c r="A27" t="s">
        <v>56</v>
      </c>
      <c r="B27" s="1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 s="1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1</v>
      </c>
      <c r="G27" s="17">
        <f>ScenarioStat3[[#This Row],[team-1-win]]+ScenarioStat3[[#This Row],[team-2-win]]+ScenarioStat3[[#This Row],[team-3-win]]</f>
        <v>1</v>
      </c>
    </row>
    <row r="28" spans="1:7" x14ac:dyDescent="0.4">
      <c r="A28" t="s">
        <v>56</v>
      </c>
      <c r="B28" s="17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 s="17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1</v>
      </c>
      <c r="G28" s="17">
        <f>ScenarioStat3[[#This Row],[team-1-win]]+ScenarioStat3[[#This Row],[team-2-win]]+ScenarioStat3[[#This Row],[team-3-win]]</f>
        <v>1</v>
      </c>
    </row>
    <row r="29" spans="1:7" x14ac:dyDescent="0.4">
      <c r="A29" t="s">
        <v>56</v>
      </c>
      <c r="B29" s="17">
        <f>COUNTIFS(Scenario3[winner1],ScenarioStat3[[#This Row],[hero-1]],Scenario3[loser1],ScenarioStat3[[#This Row],[hero-2]],Scenario3[loser2],ScenarioStat3[[#This Row],[hero-3]])</f>
        <v>1</v>
      </c>
      <c r="C29" t="s">
        <v>33</v>
      </c>
      <c r="D29" s="17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 s="17">
        <f>ScenarioStat3[[#This Row],[team-1-win]]+ScenarioStat3[[#This Row],[team-2-win]]+ScenarioStat3[[#This Row],[team-3-win]]</f>
        <v>1</v>
      </c>
    </row>
    <row r="30" spans="1:7" x14ac:dyDescent="0.4">
      <c r="A30" t="s">
        <v>56</v>
      </c>
      <c r="B30" s="17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 s="17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1</v>
      </c>
      <c r="G30" s="17">
        <f>ScenarioStat3[[#This Row],[team-1-win]]+ScenarioStat3[[#This Row],[team-2-win]]+ScenarioStat3[[#This Row],[team-3-win]]</f>
        <v>1</v>
      </c>
    </row>
    <row r="31" spans="1:7" x14ac:dyDescent="0.4">
      <c r="A31" t="s">
        <v>56</v>
      </c>
      <c r="B31" s="17">
        <f>COUNTIFS(Scenario3[winner1],ScenarioStat3[[#This Row],[hero-1]],Scenario3[loser1],ScenarioStat3[[#This Row],[hero-2]],Scenario3[loser2],ScenarioStat3[[#This Row],[hero-3]])</f>
        <v>1</v>
      </c>
      <c r="C31" t="s">
        <v>33</v>
      </c>
      <c r="D31" s="17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 s="17">
        <f>ScenarioStat3[[#This Row],[team-1-win]]+ScenarioStat3[[#This Row],[team-2-win]]+ScenarioStat3[[#This Row],[team-3-win]]</f>
        <v>1</v>
      </c>
    </row>
    <row r="32" spans="1:7" x14ac:dyDescent="0.4">
      <c r="A32" t="s">
        <v>56</v>
      </c>
      <c r="B32" s="17">
        <f>COUNTIFS(Scenario3[winner1],ScenarioStat3[[#This Row],[hero-1]],Scenario3[loser1],ScenarioStat3[[#This Row],[hero-2]],Scenario3[loser2],ScenarioStat3[[#This Row],[hero-3]])</f>
        <v>1</v>
      </c>
      <c r="C32" t="s">
        <v>33</v>
      </c>
      <c r="D32" s="17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 s="17">
        <f>ScenarioStat3[[#This Row],[team-1-win]]+ScenarioStat3[[#This Row],[team-2-win]]+ScenarioStat3[[#This Row],[team-3-win]]</f>
        <v>1</v>
      </c>
    </row>
    <row r="33" spans="1:7" x14ac:dyDescent="0.4">
      <c r="A33" t="s">
        <v>56</v>
      </c>
      <c r="B33" s="17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 s="17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 s="17">
        <f>ScenarioStat3[[#This Row],[team-1-win]]+ScenarioStat3[[#This Row],[team-2-win]]+ScenarioStat3[[#This Row],[team-3-win]]</f>
        <v>1</v>
      </c>
    </row>
    <row r="34" spans="1:7" x14ac:dyDescent="0.4">
      <c r="A34" t="s">
        <v>56</v>
      </c>
      <c r="B34" s="17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 s="17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1</v>
      </c>
      <c r="G34" s="17">
        <f>ScenarioStat3[[#This Row],[team-1-win]]+ScenarioStat3[[#This Row],[team-2-win]]+ScenarioStat3[[#This Row],[team-3-win]]</f>
        <v>1</v>
      </c>
    </row>
    <row r="35" spans="1:7" x14ac:dyDescent="0.4">
      <c r="A35" t="s">
        <v>56</v>
      </c>
      <c r="B35" s="17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 s="17">
        <f>COUNTIFS(Scenario3[winner1],ScenarioStat3[[#This Row],[hero-2]],Scenario3[loser1],ScenarioStat3[[#This Row],[hero-1]],Scenario3[loser2],ScenarioStat3[[#This Row],[hero-3]])</f>
        <v>1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 s="17">
        <f>ScenarioStat3[[#This Row],[team-1-win]]+ScenarioStat3[[#This Row],[team-2-win]]+ScenarioStat3[[#This Row],[team-3-win]]</f>
        <v>1</v>
      </c>
    </row>
    <row r="36" spans="1:7" x14ac:dyDescent="0.4">
      <c r="A36" t="s">
        <v>56</v>
      </c>
      <c r="B36" s="17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 s="17">
        <f>COUNTIFS(Scenario3[winner1],ScenarioStat3[[#This Row],[hero-2]],Scenario3[loser1],ScenarioStat3[[#This Row],[hero-1]],Scenario3[loser2],ScenarioStat3[[#This Row],[hero-3]])</f>
        <v>1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 s="17">
        <f>ScenarioStat3[[#This Row],[team-1-win]]+ScenarioStat3[[#This Row],[team-2-win]]+ScenarioStat3[[#This Row],[team-3-win]]</f>
        <v>1</v>
      </c>
    </row>
    <row r="37" spans="1:7" x14ac:dyDescent="0.4">
      <c r="A37" t="s">
        <v>56</v>
      </c>
      <c r="B37" s="1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 s="17">
        <f>COUNTIFS(Scenario3[winner1],ScenarioStat3[[#This Row],[hero-2]],Scenario3[loser1],ScenarioStat3[[#This Row],[hero-1]],Scenario3[loser2],ScenarioStat3[[#This Row],[hero-3]])</f>
        <v>1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 s="17">
        <f>ScenarioStat3[[#This Row],[team-1-win]]+ScenarioStat3[[#This Row],[team-2-win]]+ScenarioStat3[[#This Row],[team-3-win]]</f>
        <v>1</v>
      </c>
    </row>
    <row r="38" spans="1:7" x14ac:dyDescent="0.4">
      <c r="A38" t="s">
        <v>56</v>
      </c>
      <c r="B38" s="17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 s="17">
        <f>COUNTIFS(Scenario3[winner1],ScenarioStat3[[#This Row],[hero-2]],Scenario3[loser1],ScenarioStat3[[#This Row],[hero-1]],Scenario3[loser2],ScenarioStat3[[#This Row],[hero-3]])</f>
        <v>1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 s="17">
        <f>ScenarioStat3[[#This Row],[team-1-win]]+ScenarioStat3[[#This Row],[team-2-win]]+ScenarioStat3[[#This Row],[team-3-win]]</f>
        <v>1</v>
      </c>
    </row>
    <row r="39" spans="1:7" x14ac:dyDescent="0.4">
      <c r="A39" t="s">
        <v>48</v>
      </c>
      <c r="B39" s="17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 s="17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1</v>
      </c>
      <c r="G39" s="17">
        <f>ScenarioStat3[[#This Row],[team-1-win]]+ScenarioStat3[[#This Row],[team-2-win]]+ScenarioStat3[[#This Row],[team-3-win]]</f>
        <v>1</v>
      </c>
    </row>
    <row r="40" spans="1:7" x14ac:dyDescent="0.4">
      <c r="A40" t="s">
        <v>48</v>
      </c>
      <c r="B40" s="17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 s="17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 s="17">
        <f>ScenarioStat3[[#This Row],[team-1-win]]+ScenarioStat3[[#This Row],[team-2-win]]+ScenarioStat3[[#This Row],[team-3-win]]</f>
        <v>1</v>
      </c>
    </row>
    <row r="41" spans="1:7" x14ac:dyDescent="0.4">
      <c r="A41" t="s">
        <v>48</v>
      </c>
      <c r="B41" s="17">
        <f>COUNTIFS(Scenario3[winner1],ScenarioStat3[[#This Row],[hero-1]],Scenario3[loser1],ScenarioStat3[[#This Row],[hero-2]],Scenario3[loser2],ScenarioStat3[[#This Row],[hero-3]])</f>
        <v>1</v>
      </c>
      <c r="C41" t="s">
        <v>33</v>
      </c>
      <c r="D41" s="17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 s="17">
        <f>ScenarioStat3[[#This Row],[team-1-win]]+ScenarioStat3[[#This Row],[team-2-win]]+ScenarioStat3[[#This Row],[team-3-win]]</f>
        <v>1</v>
      </c>
    </row>
    <row r="42" spans="1:7" x14ac:dyDescent="0.4">
      <c r="A42" t="s">
        <v>48</v>
      </c>
      <c r="B42" s="17">
        <f>COUNTIFS(Scenario3[winner1],ScenarioStat3[[#This Row],[hero-1]],Scenario3[loser1],ScenarioStat3[[#This Row],[hero-2]],Scenario3[loser2],ScenarioStat3[[#This Row],[hero-3]])</f>
        <v>1</v>
      </c>
      <c r="C42" t="s">
        <v>33</v>
      </c>
      <c r="D42" s="17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 s="17">
        <f>ScenarioStat3[[#This Row],[team-1-win]]+ScenarioStat3[[#This Row],[team-2-win]]+ScenarioStat3[[#This Row],[team-3-win]]</f>
        <v>1</v>
      </c>
    </row>
    <row r="43" spans="1:7" x14ac:dyDescent="0.4">
      <c r="A43" t="s">
        <v>48</v>
      </c>
      <c r="B43" s="17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 s="17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 s="17">
        <f>ScenarioStat3[[#This Row],[team-1-win]]+ScenarioStat3[[#This Row],[team-2-win]]+ScenarioStat3[[#This Row],[team-3-win]]</f>
        <v>1</v>
      </c>
    </row>
    <row r="44" spans="1:7" x14ac:dyDescent="0.4">
      <c r="A44" t="s">
        <v>48</v>
      </c>
      <c r="B44" s="17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 s="17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 s="17">
        <f>ScenarioStat3[[#This Row],[team-1-win]]+ScenarioStat3[[#This Row],[team-2-win]]+ScenarioStat3[[#This Row],[team-3-win]]</f>
        <v>1</v>
      </c>
    </row>
    <row r="45" spans="1:7" x14ac:dyDescent="0.4">
      <c r="A45" t="s">
        <v>48</v>
      </c>
      <c r="B45" s="17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 s="17">
        <f>COUNTIFS(Scenario3[winner1],ScenarioStat3[[#This Row],[hero-2]],Scenario3[loser1],ScenarioStat3[[#This Row],[hero-1]],Scenario3[loser2],ScenarioStat3[[#This Row],[hero-3]])</f>
        <v>1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 s="17">
        <f>ScenarioStat3[[#This Row],[team-1-win]]+ScenarioStat3[[#This Row],[team-2-win]]+ScenarioStat3[[#This Row],[team-3-win]]</f>
        <v>1</v>
      </c>
    </row>
    <row r="46" spans="1:7" x14ac:dyDescent="0.4">
      <c r="A46" t="s">
        <v>48</v>
      </c>
      <c r="B46" s="17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 s="17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 s="17">
        <f>ScenarioStat3[[#This Row],[team-1-win]]+ScenarioStat3[[#This Row],[team-2-win]]+ScenarioStat3[[#This Row],[team-3-win]]</f>
        <v>1</v>
      </c>
    </row>
    <row r="47" spans="1:7" x14ac:dyDescent="0.4">
      <c r="A47" t="s">
        <v>48</v>
      </c>
      <c r="B47" s="1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 s="1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 s="17">
        <f>ScenarioStat3[[#This Row],[team-1-win]]+ScenarioStat3[[#This Row],[team-2-win]]+ScenarioStat3[[#This Row],[team-3-win]]</f>
        <v>1</v>
      </c>
    </row>
    <row r="48" spans="1:7" x14ac:dyDescent="0.4">
      <c r="A48" t="s">
        <v>48</v>
      </c>
      <c r="B48" s="17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 s="17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 s="17">
        <f>ScenarioStat3[[#This Row],[team-1-win]]+ScenarioStat3[[#This Row],[team-2-win]]+ScenarioStat3[[#This Row],[team-3-win]]</f>
        <v>1</v>
      </c>
    </row>
    <row r="49" spans="1:7" x14ac:dyDescent="0.4">
      <c r="A49" t="s">
        <v>33</v>
      </c>
      <c r="B49" s="17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 s="17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1</v>
      </c>
      <c r="G49" s="17">
        <f>ScenarioStat3[[#This Row],[team-1-win]]+ScenarioStat3[[#This Row],[team-2-win]]+ScenarioStat3[[#This Row],[team-3-win]]</f>
        <v>1</v>
      </c>
    </row>
    <row r="50" spans="1:7" x14ac:dyDescent="0.4">
      <c r="A50" t="s">
        <v>33</v>
      </c>
      <c r="B50" s="17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 s="17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 s="17">
        <f>ScenarioStat3[[#This Row],[team-1-win]]+ScenarioStat3[[#This Row],[team-2-win]]+ScenarioStat3[[#This Row],[team-3-win]]</f>
        <v>1</v>
      </c>
    </row>
    <row r="51" spans="1:7" x14ac:dyDescent="0.4">
      <c r="A51" t="s">
        <v>33</v>
      </c>
      <c r="B51" s="17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 s="17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 s="17">
        <f>ScenarioStat3[[#This Row],[team-1-win]]+ScenarioStat3[[#This Row],[team-2-win]]+ScenarioStat3[[#This Row],[team-3-win]]</f>
        <v>1</v>
      </c>
    </row>
    <row r="52" spans="1:7" x14ac:dyDescent="0.4">
      <c r="A52" t="s">
        <v>33</v>
      </c>
      <c r="B52" s="17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 s="17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 s="17">
        <f>ScenarioStat3[[#This Row],[team-1-win]]+ScenarioStat3[[#This Row],[team-2-win]]+ScenarioStat3[[#This Row],[team-3-win]]</f>
        <v>1</v>
      </c>
    </row>
    <row r="53" spans="1:7" x14ac:dyDescent="0.4">
      <c r="A53" t="s">
        <v>33</v>
      </c>
      <c r="B53" s="17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 s="17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 s="17">
        <f>ScenarioStat3[[#This Row],[team-1-win]]+ScenarioStat3[[#This Row],[team-2-win]]+ScenarioStat3[[#This Row],[team-3-win]]</f>
        <v>1</v>
      </c>
    </row>
    <row r="54" spans="1:7" x14ac:dyDescent="0.4">
      <c r="A54" t="s">
        <v>33</v>
      </c>
      <c r="B54" s="17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 s="17">
        <f>COUNTIFS(Scenario3[winner1],ScenarioStat3[[#This Row],[hero-2]],Scenario3[loser1],ScenarioStat3[[#This Row],[hero-1]],Scenario3[loser2],ScenarioStat3[[#This Row],[hero-3]])</f>
        <v>1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 s="17">
        <f>ScenarioStat3[[#This Row],[team-1-win]]+ScenarioStat3[[#This Row],[team-2-win]]+ScenarioStat3[[#This Row],[team-3-win]]</f>
        <v>1</v>
      </c>
    </row>
    <row r="55" spans="1:7" x14ac:dyDescent="0.4">
      <c r="A55" t="s">
        <v>43</v>
      </c>
      <c r="B55" s="17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 s="17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1</v>
      </c>
      <c r="G55" s="17">
        <f>ScenarioStat3[[#This Row],[team-1-win]]+ScenarioStat3[[#This Row],[team-2-win]]+ScenarioStat3[[#This Row],[team-3-win]]</f>
        <v>1</v>
      </c>
    </row>
    <row r="56" spans="1:7" x14ac:dyDescent="0.4">
      <c r="A56" t="s">
        <v>43</v>
      </c>
      <c r="B56" s="17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 s="17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1</v>
      </c>
      <c r="G56" s="17">
        <f>ScenarioStat3[[#This Row],[team-1-win]]+ScenarioStat3[[#This Row],[team-2-win]]+ScenarioStat3[[#This Row],[team-3-win]]</f>
        <v>1</v>
      </c>
    </row>
    <row r="57" spans="1:7" x14ac:dyDescent="0.4">
      <c r="A57" t="s">
        <v>43</v>
      </c>
      <c r="B57" s="1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 s="1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 s="17">
        <f>ScenarioStat3[[#This Row],[team-1-win]]+ScenarioStat3[[#This Row],[team-2-win]]+ScenarioStat3[[#This Row],[team-3-win]]</f>
        <v>1</v>
      </c>
    </row>
    <row r="58" spans="1:7" x14ac:dyDescent="0.4">
      <c r="A58" t="s">
        <v>45</v>
      </c>
      <c r="B58" s="17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 s="17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 s="17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67" workbookViewId="0">
      <selection activeCell="D78" sqref="D78"/>
    </sheetView>
  </sheetViews>
  <sheetFormatPr defaultRowHeight="14.6" x14ac:dyDescent="0.4"/>
  <cols>
    <col min="1" max="1" width="34.69140625" bestFit="1" customWidth="1"/>
    <col min="2" max="2" width="7.69140625" bestFit="1" customWidth="1"/>
    <col min="3" max="3" width="9.84375" bestFit="1" customWidth="1"/>
    <col min="4" max="4" width="13" customWidth="1"/>
    <col min="5" max="5" width="12.69140625" customWidth="1"/>
    <col min="6" max="6" width="12.3828125" customWidth="1"/>
    <col min="7" max="7" width="21.15234375" customWidth="1"/>
    <col min="8" max="8" width="19.15234375" customWidth="1"/>
    <col min="9" max="9" width="18" customWidth="1"/>
    <col min="10" max="10" width="18.3828125" customWidth="1"/>
    <col min="11" max="11" width="11.3828125" bestFit="1" customWidth="1"/>
    <col min="12" max="12" width="12.15234375" customWidth="1"/>
    <col min="13" max="13" width="11.84375" customWidth="1"/>
    <col min="14" max="14" width="11.3828125" customWidth="1"/>
    <col min="15" max="15" width="18.3828125" customWidth="1"/>
    <col min="16" max="16" width="18.69140625" customWidth="1"/>
    <col min="17" max="17" width="20.69140625" customWidth="1"/>
    <col min="18" max="26" width="17.3046875" customWidth="1"/>
    <col min="27" max="27" width="8.07421875" bestFit="1" customWidth="1"/>
    <col min="28" max="28" width="11.23046875" bestFit="1" customWidth="1"/>
    <col min="29" max="29" width="10.921875" bestFit="1" customWidth="1"/>
    <col min="30" max="30" width="10.61328125" bestFit="1" customWidth="1"/>
    <col min="31" max="34" width="14.765625" bestFit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8" t="s">
        <v>25</v>
      </c>
      <c r="T1" s="38" t="s">
        <v>26</v>
      </c>
      <c r="U1" s="38" t="s">
        <v>27</v>
      </c>
      <c r="V1" s="38" t="s">
        <v>28</v>
      </c>
      <c r="W1" s="38" t="s">
        <v>29</v>
      </c>
      <c r="X1" s="38" t="s">
        <v>119</v>
      </c>
      <c r="Y1" s="38" t="s">
        <v>30</v>
      </c>
      <c r="Z1" s="38" t="s">
        <v>31</v>
      </c>
      <c r="AA1" s="40" t="s">
        <v>742</v>
      </c>
      <c r="AB1" s="38" t="s">
        <v>747</v>
      </c>
      <c r="AC1" s="38" t="s">
        <v>748</v>
      </c>
      <c r="AD1" s="38" t="s">
        <v>749</v>
      </c>
      <c r="AE1" s="38" t="s">
        <v>743</v>
      </c>
      <c r="AF1" s="38" t="s">
        <v>744</v>
      </c>
      <c r="AG1" s="38" t="s">
        <v>745</v>
      </c>
      <c r="AH1" s="38" t="s">
        <v>746</v>
      </c>
      <c r="AI1" t="s">
        <v>64</v>
      </c>
      <c r="AJ1" t="s">
        <v>32</v>
      </c>
    </row>
    <row r="2" spans="1:36" x14ac:dyDescent="0.4">
      <c r="A2" t="s">
        <v>750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2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51</v>
      </c>
      <c r="Z2" t="s">
        <v>128</v>
      </c>
      <c r="AA2" t="s">
        <v>33</v>
      </c>
      <c r="AB2">
        <v>2</v>
      </c>
      <c r="AD2">
        <v>1</v>
      </c>
      <c r="AE2" t="s">
        <v>34</v>
      </c>
      <c r="AF2" t="s">
        <v>130</v>
      </c>
      <c r="AG2" t="s">
        <v>132</v>
      </c>
      <c r="AH2" t="s">
        <v>133</v>
      </c>
      <c r="AI2">
        <v>0</v>
      </c>
      <c r="AJ2">
        <v>40</v>
      </c>
    </row>
    <row r="3" spans="1:36" x14ac:dyDescent="0.4">
      <c r="A3" t="s">
        <v>753</v>
      </c>
      <c r="B3">
        <v>1</v>
      </c>
      <c r="C3" t="s">
        <v>56</v>
      </c>
      <c r="D3">
        <v>3</v>
      </c>
      <c r="F3">
        <v>2</v>
      </c>
      <c r="G3" t="s">
        <v>120</v>
      </c>
      <c r="H3" t="s">
        <v>69</v>
      </c>
      <c r="I3" t="s">
        <v>87</v>
      </c>
      <c r="J3" t="s">
        <v>88</v>
      </c>
      <c r="K3" t="s">
        <v>53</v>
      </c>
      <c r="L3">
        <v>1</v>
      </c>
      <c r="M3">
        <v>1</v>
      </c>
      <c r="N3">
        <v>3</v>
      </c>
      <c r="O3" t="s">
        <v>112</v>
      </c>
      <c r="P3" t="s">
        <v>83</v>
      </c>
      <c r="Q3" t="s">
        <v>105</v>
      </c>
      <c r="R3" t="s">
        <v>115</v>
      </c>
      <c r="S3" t="s">
        <v>48</v>
      </c>
      <c r="T3">
        <v>1</v>
      </c>
      <c r="V3">
        <v>2</v>
      </c>
      <c r="W3" t="s">
        <v>126</v>
      </c>
      <c r="X3" t="s">
        <v>71</v>
      </c>
      <c r="Y3" t="s">
        <v>90</v>
      </c>
      <c r="Z3" t="s">
        <v>128</v>
      </c>
      <c r="AA3" t="s">
        <v>43</v>
      </c>
      <c r="AB3">
        <v>3</v>
      </c>
      <c r="AD3">
        <v>3</v>
      </c>
      <c r="AE3" t="s">
        <v>44</v>
      </c>
      <c r="AF3" t="s">
        <v>136</v>
      </c>
      <c r="AG3" t="s">
        <v>137</v>
      </c>
      <c r="AH3" t="s">
        <v>138</v>
      </c>
      <c r="AI3">
        <v>0</v>
      </c>
      <c r="AJ3">
        <v>28</v>
      </c>
    </row>
    <row r="4" spans="1:36" x14ac:dyDescent="0.4">
      <c r="A4" t="s">
        <v>754</v>
      </c>
      <c r="B4">
        <v>2</v>
      </c>
      <c r="C4" t="s">
        <v>45</v>
      </c>
      <c r="D4">
        <v>3</v>
      </c>
      <c r="F4">
        <v>3</v>
      </c>
      <c r="G4" t="s">
        <v>86</v>
      </c>
      <c r="H4" t="s">
        <v>76</v>
      </c>
      <c r="I4" t="s">
        <v>142</v>
      </c>
      <c r="J4" t="s">
        <v>143</v>
      </c>
      <c r="K4" t="s">
        <v>53</v>
      </c>
      <c r="L4">
        <v>1</v>
      </c>
      <c r="M4">
        <v>1</v>
      </c>
      <c r="N4">
        <v>3</v>
      </c>
      <c r="O4" t="s">
        <v>112</v>
      </c>
      <c r="P4" t="s">
        <v>83</v>
      </c>
      <c r="Q4" t="s">
        <v>105</v>
      </c>
      <c r="R4" t="s">
        <v>115</v>
      </c>
      <c r="S4" t="s">
        <v>56</v>
      </c>
      <c r="T4">
        <v>3</v>
      </c>
      <c r="V4">
        <v>3</v>
      </c>
      <c r="W4" t="s">
        <v>120</v>
      </c>
      <c r="X4" t="s">
        <v>69</v>
      </c>
      <c r="Y4" t="s">
        <v>87</v>
      </c>
      <c r="Z4" t="s">
        <v>88</v>
      </c>
      <c r="AA4" t="s">
        <v>48</v>
      </c>
      <c r="AB4">
        <v>3</v>
      </c>
      <c r="AD4">
        <v>3</v>
      </c>
      <c r="AE4" t="s">
        <v>126</v>
      </c>
      <c r="AF4" t="s">
        <v>71</v>
      </c>
      <c r="AG4" t="s">
        <v>90</v>
      </c>
      <c r="AH4" t="s">
        <v>128</v>
      </c>
      <c r="AI4">
        <v>0</v>
      </c>
      <c r="AJ4">
        <v>35</v>
      </c>
    </row>
    <row r="5" spans="1:36" x14ac:dyDescent="0.4">
      <c r="A5" t="s">
        <v>755</v>
      </c>
      <c r="B5">
        <v>3</v>
      </c>
      <c r="C5" t="s">
        <v>56</v>
      </c>
      <c r="D5">
        <v>3</v>
      </c>
      <c r="F5">
        <v>3</v>
      </c>
      <c r="G5" t="s">
        <v>120</v>
      </c>
      <c r="H5" t="s">
        <v>69</v>
      </c>
      <c r="I5" t="s">
        <v>87</v>
      </c>
      <c r="J5" t="s">
        <v>88</v>
      </c>
      <c r="K5" t="s">
        <v>53</v>
      </c>
      <c r="L5">
        <v>1</v>
      </c>
      <c r="M5">
        <v>3</v>
      </c>
      <c r="N5">
        <v>3</v>
      </c>
      <c r="O5" t="s">
        <v>54</v>
      </c>
      <c r="P5" t="s">
        <v>83</v>
      </c>
      <c r="Q5" t="s">
        <v>97</v>
      </c>
      <c r="R5" t="s">
        <v>115</v>
      </c>
      <c r="S5" t="s">
        <v>48</v>
      </c>
      <c r="T5">
        <v>3</v>
      </c>
      <c r="V5">
        <v>3</v>
      </c>
      <c r="W5" t="s">
        <v>126</v>
      </c>
      <c r="X5" t="s">
        <v>71</v>
      </c>
      <c r="Y5" t="s">
        <v>51</v>
      </c>
      <c r="Z5" t="s">
        <v>128</v>
      </c>
      <c r="AA5" t="s">
        <v>63</v>
      </c>
      <c r="AB5">
        <v>3</v>
      </c>
      <c r="AD5">
        <v>3</v>
      </c>
      <c r="AE5" t="s">
        <v>72</v>
      </c>
      <c r="AF5" t="s">
        <v>146</v>
      </c>
      <c r="AG5" t="s">
        <v>148</v>
      </c>
      <c r="AH5" t="s">
        <v>149</v>
      </c>
      <c r="AI5">
        <v>0</v>
      </c>
      <c r="AJ5">
        <v>58</v>
      </c>
    </row>
    <row r="6" spans="1:36" x14ac:dyDescent="0.4">
      <c r="A6" s="4" t="s">
        <v>756</v>
      </c>
      <c r="B6">
        <v>4</v>
      </c>
      <c r="C6" t="s">
        <v>56</v>
      </c>
      <c r="D6">
        <v>3</v>
      </c>
      <c r="F6">
        <v>3</v>
      </c>
      <c r="G6" t="s">
        <v>120</v>
      </c>
      <c r="H6" t="s">
        <v>69</v>
      </c>
      <c r="I6" t="s">
        <v>87</v>
      </c>
      <c r="J6" t="s">
        <v>88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83</v>
      </c>
      <c r="Q6" t="s">
        <v>105</v>
      </c>
      <c r="R6" t="s">
        <v>115</v>
      </c>
      <c r="S6" t="s">
        <v>48</v>
      </c>
      <c r="T6">
        <v>3</v>
      </c>
      <c r="V6">
        <v>3</v>
      </c>
      <c r="W6" t="s">
        <v>126</v>
      </c>
      <c r="X6" t="s">
        <v>71</v>
      </c>
      <c r="Y6" t="s">
        <v>90</v>
      </c>
      <c r="Z6" t="s">
        <v>128</v>
      </c>
      <c r="AA6" t="s">
        <v>38</v>
      </c>
      <c r="AB6">
        <v>3</v>
      </c>
      <c r="AC6">
        <v>2</v>
      </c>
      <c r="AD6">
        <v>1</v>
      </c>
      <c r="AE6" t="s">
        <v>152</v>
      </c>
      <c r="AF6" t="s">
        <v>96</v>
      </c>
      <c r="AG6" t="s">
        <v>153</v>
      </c>
      <c r="AH6" t="s">
        <v>156</v>
      </c>
      <c r="AI6">
        <v>0</v>
      </c>
      <c r="AJ6">
        <v>39</v>
      </c>
    </row>
    <row r="7" spans="1:36" x14ac:dyDescent="0.4">
      <c r="A7" t="s">
        <v>757</v>
      </c>
      <c r="B7">
        <v>5</v>
      </c>
      <c r="C7" t="s">
        <v>43</v>
      </c>
      <c r="D7">
        <v>3</v>
      </c>
      <c r="F7">
        <v>3</v>
      </c>
      <c r="G7" t="s">
        <v>44</v>
      </c>
      <c r="H7" t="s">
        <v>136</v>
      </c>
      <c r="I7" t="s">
        <v>75</v>
      </c>
      <c r="J7" t="s">
        <v>138</v>
      </c>
      <c r="K7" t="s">
        <v>53</v>
      </c>
      <c r="L7">
        <v>1</v>
      </c>
      <c r="M7">
        <v>1</v>
      </c>
      <c r="N7">
        <v>2</v>
      </c>
      <c r="O7" t="s">
        <v>112</v>
      </c>
      <c r="P7" t="s">
        <v>83</v>
      </c>
      <c r="Q7" t="s">
        <v>97</v>
      </c>
      <c r="R7" t="s">
        <v>115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87</v>
      </c>
      <c r="Z7" t="s">
        <v>88</v>
      </c>
      <c r="AA7" t="s">
        <v>33</v>
      </c>
      <c r="AB7">
        <v>2</v>
      </c>
      <c r="AD7">
        <v>2</v>
      </c>
      <c r="AE7" t="s">
        <v>34</v>
      </c>
      <c r="AF7" t="s">
        <v>130</v>
      </c>
      <c r="AI7">
        <v>0</v>
      </c>
      <c r="AJ7">
        <v>33</v>
      </c>
    </row>
    <row r="8" spans="1:36" x14ac:dyDescent="0.4">
      <c r="A8" t="s">
        <v>758</v>
      </c>
      <c r="B8">
        <v>6</v>
      </c>
      <c r="C8" t="s">
        <v>33</v>
      </c>
      <c r="D8">
        <v>3</v>
      </c>
      <c r="F8">
        <v>3</v>
      </c>
      <c r="G8" t="s">
        <v>34</v>
      </c>
      <c r="H8" t="s">
        <v>130</v>
      </c>
      <c r="I8" t="s">
        <v>132</v>
      </c>
      <c r="J8" t="s">
        <v>133</v>
      </c>
      <c r="K8" t="s">
        <v>53</v>
      </c>
      <c r="L8">
        <v>2</v>
      </c>
      <c r="M8">
        <v>3</v>
      </c>
      <c r="N8">
        <v>3</v>
      </c>
      <c r="O8" t="s">
        <v>112</v>
      </c>
      <c r="P8" t="s">
        <v>83</v>
      </c>
      <c r="Q8" t="s">
        <v>97</v>
      </c>
      <c r="R8" t="s">
        <v>115</v>
      </c>
      <c r="S8" t="s">
        <v>56</v>
      </c>
      <c r="T8">
        <v>3</v>
      </c>
      <c r="V8">
        <v>3</v>
      </c>
      <c r="W8" t="s">
        <v>120</v>
      </c>
      <c r="X8" t="s">
        <v>69</v>
      </c>
      <c r="Y8" t="s">
        <v>87</v>
      </c>
      <c r="Z8" t="s">
        <v>88</v>
      </c>
      <c r="AA8" t="s">
        <v>45</v>
      </c>
      <c r="AB8">
        <v>3</v>
      </c>
      <c r="AD8">
        <v>3</v>
      </c>
      <c r="AE8" t="s">
        <v>47</v>
      </c>
      <c r="AF8" t="s">
        <v>76</v>
      </c>
      <c r="AG8" t="s">
        <v>142</v>
      </c>
      <c r="AH8" t="s">
        <v>143</v>
      </c>
      <c r="AI8">
        <v>0</v>
      </c>
      <c r="AJ8">
        <v>56</v>
      </c>
    </row>
    <row r="9" spans="1:36" x14ac:dyDescent="0.4">
      <c r="A9" t="s">
        <v>759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130</v>
      </c>
      <c r="I9" t="s">
        <v>132</v>
      </c>
      <c r="J9" t="s">
        <v>133</v>
      </c>
      <c r="K9" t="s">
        <v>53</v>
      </c>
      <c r="L9">
        <v>2</v>
      </c>
      <c r="M9">
        <v>1</v>
      </c>
      <c r="N9">
        <v>3</v>
      </c>
      <c r="O9" t="s">
        <v>112</v>
      </c>
      <c r="P9" t="s">
        <v>83</v>
      </c>
      <c r="Q9" t="s">
        <v>97</v>
      </c>
      <c r="R9" t="s">
        <v>115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88</v>
      </c>
      <c r="AA9" t="s">
        <v>63</v>
      </c>
      <c r="AB9">
        <v>3</v>
      </c>
      <c r="AD9">
        <v>3</v>
      </c>
      <c r="AE9" t="s">
        <v>72</v>
      </c>
      <c r="AF9" t="s">
        <v>146</v>
      </c>
      <c r="AG9" t="s">
        <v>148</v>
      </c>
      <c r="AH9" t="s">
        <v>150</v>
      </c>
      <c r="AI9">
        <v>0</v>
      </c>
      <c r="AJ9">
        <v>49</v>
      </c>
    </row>
    <row r="10" spans="1:36" x14ac:dyDescent="0.4">
      <c r="A10" t="s">
        <v>760</v>
      </c>
      <c r="B10">
        <v>8</v>
      </c>
      <c r="C10" t="s">
        <v>33</v>
      </c>
      <c r="D10">
        <v>3</v>
      </c>
      <c r="F10">
        <v>3</v>
      </c>
      <c r="G10" t="s">
        <v>34</v>
      </c>
      <c r="H10" t="s">
        <v>130</v>
      </c>
      <c r="I10" t="s">
        <v>132</v>
      </c>
      <c r="J10" t="s">
        <v>133</v>
      </c>
      <c r="K10" t="s">
        <v>53</v>
      </c>
      <c r="L10">
        <v>2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38</v>
      </c>
      <c r="AB10">
        <v>3</v>
      </c>
      <c r="AC10">
        <v>3</v>
      </c>
      <c r="AD10">
        <v>3</v>
      </c>
      <c r="AE10" t="s">
        <v>152</v>
      </c>
      <c r="AF10" t="s">
        <v>96</v>
      </c>
      <c r="AG10" t="s">
        <v>153</v>
      </c>
      <c r="AH10" t="s">
        <v>156</v>
      </c>
      <c r="AI10">
        <v>0</v>
      </c>
      <c r="AJ10">
        <v>61</v>
      </c>
    </row>
    <row r="11" spans="1:36" x14ac:dyDescent="0.4">
      <c r="A11" t="s">
        <v>761</v>
      </c>
      <c r="B11">
        <v>9</v>
      </c>
      <c r="C11" t="s">
        <v>43</v>
      </c>
      <c r="D11">
        <v>3</v>
      </c>
      <c r="F11">
        <v>3</v>
      </c>
      <c r="G11" t="s">
        <v>44</v>
      </c>
      <c r="H11" t="s">
        <v>136</v>
      </c>
      <c r="I11" t="s">
        <v>75</v>
      </c>
      <c r="J11" t="s">
        <v>138</v>
      </c>
      <c r="K11" t="s">
        <v>53</v>
      </c>
      <c r="L11">
        <v>2</v>
      </c>
      <c r="M11">
        <v>3</v>
      </c>
      <c r="N11">
        <v>3</v>
      </c>
      <c r="O11" t="s">
        <v>112</v>
      </c>
      <c r="P11" t="s">
        <v>83</v>
      </c>
      <c r="Q11" t="s">
        <v>105</v>
      </c>
      <c r="R11" t="s">
        <v>115</v>
      </c>
      <c r="S11" t="s">
        <v>56</v>
      </c>
      <c r="T11">
        <v>3</v>
      </c>
      <c r="V11">
        <v>3</v>
      </c>
      <c r="W11" t="s">
        <v>120</v>
      </c>
      <c r="X11" t="s">
        <v>69</v>
      </c>
      <c r="Y11" t="s">
        <v>87</v>
      </c>
      <c r="Z11" t="s">
        <v>88</v>
      </c>
      <c r="AA11" t="s">
        <v>45</v>
      </c>
      <c r="AB11">
        <v>2</v>
      </c>
      <c r="AD11">
        <v>3</v>
      </c>
      <c r="AE11" t="s">
        <v>86</v>
      </c>
      <c r="AF11" t="s">
        <v>141</v>
      </c>
      <c r="AG11" t="s">
        <v>142</v>
      </c>
      <c r="AH11" t="s">
        <v>143</v>
      </c>
      <c r="AI11">
        <v>0</v>
      </c>
      <c r="AJ11">
        <v>40</v>
      </c>
    </row>
    <row r="12" spans="1:36" x14ac:dyDescent="0.4">
      <c r="A12" t="s">
        <v>762</v>
      </c>
      <c r="B12">
        <v>10</v>
      </c>
      <c r="C12" t="s">
        <v>63</v>
      </c>
      <c r="D12">
        <v>3</v>
      </c>
      <c r="F12">
        <v>3</v>
      </c>
      <c r="G12" t="s">
        <v>72</v>
      </c>
      <c r="H12" t="s">
        <v>146</v>
      </c>
      <c r="I12" t="s">
        <v>148</v>
      </c>
      <c r="J12" t="s">
        <v>151</v>
      </c>
      <c r="K12" t="s">
        <v>53</v>
      </c>
      <c r="L12">
        <v>2</v>
      </c>
      <c r="M12">
        <v>3</v>
      </c>
      <c r="N12">
        <v>3</v>
      </c>
      <c r="O12" t="s">
        <v>112</v>
      </c>
      <c r="P12" t="s">
        <v>83</v>
      </c>
      <c r="Q12" t="s">
        <v>97</v>
      </c>
      <c r="R12" t="s">
        <v>115</v>
      </c>
      <c r="S12" t="s">
        <v>56</v>
      </c>
      <c r="T12">
        <v>3</v>
      </c>
      <c r="V12">
        <v>3</v>
      </c>
      <c r="W12" t="s">
        <v>120</v>
      </c>
      <c r="X12" t="s">
        <v>69</v>
      </c>
      <c r="Y12" t="s">
        <v>87</v>
      </c>
      <c r="Z12" t="s">
        <v>88</v>
      </c>
      <c r="AA12" t="s">
        <v>43</v>
      </c>
      <c r="AB12">
        <v>3</v>
      </c>
      <c r="AD12">
        <v>3</v>
      </c>
      <c r="AE12" t="s">
        <v>44</v>
      </c>
      <c r="AF12" t="s">
        <v>74</v>
      </c>
      <c r="AG12" t="s">
        <v>100</v>
      </c>
      <c r="AH12" t="s">
        <v>139</v>
      </c>
      <c r="AI12">
        <v>0</v>
      </c>
      <c r="AJ12">
        <v>42</v>
      </c>
    </row>
    <row r="13" spans="1:36" x14ac:dyDescent="0.4">
      <c r="A13" t="s">
        <v>763</v>
      </c>
      <c r="B13">
        <v>11</v>
      </c>
      <c r="C13" t="s">
        <v>56</v>
      </c>
      <c r="D13">
        <v>3</v>
      </c>
      <c r="F13">
        <v>3</v>
      </c>
      <c r="G13" t="s">
        <v>120</v>
      </c>
      <c r="H13" t="s">
        <v>69</v>
      </c>
      <c r="I13" t="s">
        <v>87</v>
      </c>
      <c r="J13" t="s">
        <v>88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97</v>
      </c>
      <c r="R13" t="s">
        <v>115</v>
      </c>
      <c r="S13" t="s">
        <v>43</v>
      </c>
      <c r="T13">
        <v>3</v>
      </c>
      <c r="V13">
        <v>3</v>
      </c>
      <c r="W13" t="s">
        <v>73</v>
      </c>
      <c r="X13" t="s">
        <v>99</v>
      </c>
      <c r="Y13" t="s">
        <v>100</v>
      </c>
      <c r="Z13" t="s">
        <v>139</v>
      </c>
      <c r="AA13" t="s">
        <v>38</v>
      </c>
      <c r="AB13">
        <v>3</v>
      </c>
      <c r="AC13">
        <v>3</v>
      </c>
      <c r="AD13">
        <v>3</v>
      </c>
      <c r="AE13" t="s">
        <v>152</v>
      </c>
      <c r="AF13" t="s">
        <v>40</v>
      </c>
      <c r="AG13" t="s">
        <v>153</v>
      </c>
      <c r="AH13" t="s">
        <v>156</v>
      </c>
      <c r="AI13">
        <v>0</v>
      </c>
      <c r="AJ13">
        <v>49</v>
      </c>
    </row>
    <row r="14" spans="1:36" x14ac:dyDescent="0.4">
      <c r="A14" t="s">
        <v>764</v>
      </c>
      <c r="B14">
        <v>12</v>
      </c>
      <c r="C14" t="s">
        <v>45</v>
      </c>
      <c r="D14">
        <v>3</v>
      </c>
      <c r="F14">
        <v>3</v>
      </c>
      <c r="G14" t="s">
        <v>86</v>
      </c>
      <c r="H14" t="s">
        <v>141</v>
      </c>
      <c r="I14" t="s">
        <v>142</v>
      </c>
      <c r="J14" t="s">
        <v>143</v>
      </c>
      <c r="K14" t="s">
        <v>53</v>
      </c>
      <c r="L14">
        <v>1</v>
      </c>
      <c r="M14">
        <v>1</v>
      </c>
      <c r="N14">
        <v>3</v>
      </c>
      <c r="O14" t="s">
        <v>112</v>
      </c>
      <c r="P14" t="s">
        <v>83</v>
      </c>
      <c r="Q14" t="s">
        <v>114</v>
      </c>
      <c r="S14" t="s">
        <v>56</v>
      </c>
      <c r="T14">
        <v>3</v>
      </c>
      <c r="V14">
        <v>3</v>
      </c>
      <c r="W14" t="s">
        <v>120</v>
      </c>
      <c r="X14" t="s">
        <v>69</v>
      </c>
      <c r="Y14" t="s">
        <v>87</v>
      </c>
      <c r="Z14" t="s">
        <v>88</v>
      </c>
      <c r="AA14" t="s">
        <v>63</v>
      </c>
      <c r="AB14">
        <v>3</v>
      </c>
      <c r="AD14">
        <v>3</v>
      </c>
      <c r="AE14" t="s">
        <v>72</v>
      </c>
      <c r="AF14" t="s">
        <v>146</v>
      </c>
      <c r="AG14" t="s">
        <v>148</v>
      </c>
      <c r="AH14" t="s">
        <v>150</v>
      </c>
      <c r="AI14">
        <v>0</v>
      </c>
      <c r="AJ14">
        <v>66</v>
      </c>
    </row>
    <row r="15" spans="1:36" x14ac:dyDescent="0.4">
      <c r="A15" t="s">
        <v>765</v>
      </c>
      <c r="B15">
        <v>13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83</v>
      </c>
      <c r="I15" t="s">
        <v>105</v>
      </c>
      <c r="J15" t="s">
        <v>115</v>
      </c>
      <c r="K15" t="s">
        <v>56</v>
      </c>
      <c r="L15">
        <v>2</v>
      </c>
      <c r="N15">
        <v>2</v>
      </c>
      <c r="O15" t="s">
        <v>120</v>
      </c>
      <c r="P15" t="s">
        <v>69</v>
      </c>
      <c r="Q15" t="s">
        <v>87</v>
      </c>
      <c r="R15" t="s">
        <v>88</v>
      </c>
      <c r="S15" t="s">
        <v>45</v>
      </c>
      <c r="T15">
        <v>3</v>
      </c>
      <c r="V15">
        <v>3</v>
      </c>
      <c r="W15" t="s">
        <v>86</v>
      </c>
      <c r="X15" t="s">
        <v>92</v>
      </c>
      <c r="Y15" t="s">
        <v>93</v>
      </c>
      <c r="Z15" t="s">
        <v>143</v>
      </c>
      <c r="AA15" t="s">
        <v>38</v>
      </c>
      <c r="AB15">
        <v>3</v>
      </c>
      <c r="AC15">
        <v>3</v>
      </c>
      <c r="AD15">
        <v>3</v>
      </c>
      <c r="AE15" t="s">
        <v>152</v>
      </c>
      <c r="AF15" t="s">
        <v>96</v>
      </c>
      <c r="AG15" t="s">
        <v>153</v>
      </c>
      <c r="AH15" t="s">
        <v>156</v>
      </c>
      <c r="AI15">
        <v>0</v>
      </c>
      <c r="AJ15">
        <v>47</v>
      </c>
    </row>
    <row r="16" spans="1:36" x14ac:dyDescent="0.4">
      <c r="A16" t="s">
        <v>766</v>
      </c>
      <c r="B16">
        <v>14</v>
      </c>
      <c r="C16" t="s">
        <v>63</v>
      </c>
      <c r="D16">
        <v>3</v>
      </c>
      <c r="F16">
        <v>3</v>
      </c>
      <c r="G16" t="s">
        <v>103</v>
      </c>
      <c r="H16" t="s">
        <v>95</v>
      </c>
      <c r="I16" t="s">
        <v>104</v>
      </c>
      <c r="J16" t="s">
        <v>150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83</v>
      </c>
      <c r="Q16" t="s">
        <v>105</v>
      </c>
      <c r="R16" t="s">
        <v>98</v>
      </c>
      <c r="S16" t="s">
        <v>56</v>
      </c>
      <c r="T16">
        <v>3</v>
      </c>
      <c r="V16">
        <v>3</v>
      </c>
      <c r="W16" t="s">
        <v>120</v>
      </c>
      <c r="X16" t="s">
        <v>69</v>
      </c>
      <c r="Y16" t="s">
        <v>87</v>
      </c>
      <c r="Z16" t="s">
        <v>88</v>
      </c>
      <c r="AA16" t="s">
        <v>38</v>
      </c>
      <c r="AB16">
        <v>3</v>
      </c>
      <c r="AC16">
        <v>3</v>
      </c>
      <c r="AD16">
        <v>3</v>
      </c>
      <c r="AE16" t="s">
        <v>152</v>
      </c>
      <c r="AF16" t="s">
        <v>96</v>
      </c>
      <c r="AG16" t="s">
        <v>154</v>
      </c>
      <c r="AH16" t="s">
        <v>156</v>
      </c>
      <c r="AI16">
        <v>0</v>
      </c>
      <c r="AJ16">
        <v>60</v>
      </c>
    </row>
    <row r="17" spans="1:36" x14ac:dyDescent="0.4">
      <c r="A17" t="s">
        <v>767</v>
      </c>
      <c r="B17">
        <v>15</v>
      </c>
      <c r="C17" t="s">
        <v>43</v>
      </c>
      <c r="D17">
        <v>3</v>
      </c>
      <c r="F17">
        <v>3</v>
      </c>
      <c r="G17" t="s">
        <v>44</v>
      </c>
      <c r="H17" t="s">
        <v>136</v>
      </c>
      <c r="I17" t="s">
        <v>137</v>
      </c>
      <c r="J17" t="s">
        <v>138</v>
      </c>
      <c r="K17" t="s">
        <v>53</v>
      </c>
      <c r="L17">
        <v>1</v>
      </c>
      <c r="M17">
        <v>1</v>
      </c>
      <c r="N17">
        <v>3</v>
      </c>
      <c r="O17" t="s">
        <v>112</v>
      </c>
      <c r="P17" t="s">
        <v>83</v>
      </c>
      <c r="Q17" t="s">
        <v>97</v>
      </c>
      <c r="S17" t="s">
        <v>48</v>
      </c>
      <c r="T17">
        <v>2</v>
      </c>
      <c r="V17">
        <v>3</v>
      </c>
      <c r="W17" t="s">
        <v>126</v>
      </c>
      <c r="X17" t="s">
        <v>71</v>
      </c>
      <c r="Y17" t="s">
        <v>127</v>
      </c>
      <c r="Z17" t="s">
        <v>128</v>
      </c>
      <c r="AA17" t="s">
        <v>33</v>
      </c>
      <c r="AB17">
        <v>3</v>
      </c>
      <c r="AD17">
        <v>3</v>
      </c>
      <c r="AE17" t="s">
        <v>34</v>
      </c>
      <c r="AF17" t="s">
        <v>130</v>
      </c>
      <c r="AG17" t="s">
        <v>36</v>
      </c>
      <c r="AH17" t="s">
        <v>37</v>
      </c>
      <c r="AI17">
        <v>0</v>
      </c>
      <c r="AJ17">
        <v>33</v>
      </c>
    </row>
    <row r="18" spans="1:36" x14ac:dyDescent="0.4">
      <c r="A18" t="s">
        <v>768</v>
      </c>
      <c r="B18">
        <v>16</v>
      </c>
      <c r="C18" t="s">
        <v>45</v>
      </c>
      <c r="D18">
        <v>3</v>
      </c>
      <c r="F18">
        <v>3</v>
      </c>
      <c r="G18" t="s">
        <v>86</v>
      </c>
      <c r="H18" t="s">
        <v>141</v>
      </c>
      <c r="I18" t="s">
        <v>142</v>
      </c>
      <c r="J18" t="s">
        <v>143</v>
      </c>
      <c r="K18" t="s">
        <v>53</v>
      </c>
      <c r="L18">
        <v>2</v>
      </c>
      <c r="M18">
        <v>3</v>
      </c>
      <c r="N18">
        <v>3</v>
      </c>
      <c r="O18" t="s">
        <v>112</v>
      </c>
      <c r="P18" t="s">
        <v>83</v>
      </c>
      <c r="Q18" t="s">
        <v>97</v>
      </c>
      <c r="R18" t="s">
        <v>98</v>
      </c>
      <c r="S18" t="s">
        <v>48</v>
      </c>
      <c r="T18">
        <v>3</v>
      </c>
      <c r="V18">
        <v>3</v>
      </c>
      <c r="W18" t="s">
        <v>126</v>
      </c>
      <c r="X18" t="s">
        <v>71</v>
      </c>
      <c r="Y18" t="s">
        <v>51</v>
      </c>
      <c r="Z18" t="s">
        <v>128</v>
      </c>
      <c r="AA18" t="s">
        <v>33</v>
      </c>
      <c r="AB18">
        <v>3</v>
      </c>
      <c r="AD18">
        <v>3</v>
      </c>
      <c r="AE18" t="s">
        <v>34</v>
      </c>
      <c r="AF18" t="s">
        <v>130</v>
      </c>
      <c r="AG18" t="s">
        <v>132</v>
      </c>
      <c r="AH18" t="s">
        <v>133</v>
      </c>
      <c r="AI18">
        <v>0</v>
      </c>
      <c r="AJ18">
        <v>46</v>
      </c>
    </row>
    <row r="19" spans="1:36" x14ac:dyDescent="0.4">
      <c r="A19" t="s">
        <v>769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111</v>
      </c>
      <c r="H19" t="s">
        <v>83</v>
      </c>
      <c r="I19" t="s">
        <v>114</v>
      </c>
      <c r="J19" t="s">
        <v>115</v>
      </c>
      <c r="K19" t="s">
        <v>48</v>
      </c>
      <c r="L19">
        <v>3</v>
      </c>
      <c r="N19">
        <v>3</v>
      </c>
      <c r="O19" t="s">
        <v>126</v>
      </c>
      <c r="P19" t="s">
        <v>71</v>
      </c>
      <c r="Q19" t="s">
        <v>51</v>
      </c>
      <c r="R19" t="s">
        <v>128</v>
      </c>
      <c r="S19" t="s">
        <v>33</v>
      </c>
      <c r="T19">
        <v>2</v>
      </c>
      <c r="V19">
        <v>2</v>
      </c>
      <c r="W19" t="s">
        <v>34</v>
      </c>
      <c r="X19" t="s">
        <v>130</v>
      </c>
      <c r="Y19" t="s">
        <v>132</v>
      </c>
      <c r="AA19" t="s">
        <v>63</v>
      </c>
      <c r="AB19">
        <v>3</v>
      </c>
      <c r="AD19">
        <v>3</v>
      </c>
      <c r="AE19" t="s">
        <v>72</v>
      </c>
      <c r="AF19" t="s">
        <v>146</v>
      </c>
      <c r="AG19" t="s">
        <v>148</v>
      </c>
      <c r="AH19" t="s">
        <v>149</v>
      </c>
      <c r="AI19">
        <v>0</v>
      </c>
      <c r="AJ19">
        <v>68</v>
      </c>
    </row>
    <row r="20" spans="1:36" x14ac:dyDescent="0.4">
      <c r="A20" t="s">
        <v>770</v>
      </c>
      <c r="B20">
        <v>18</v>
      </c>
      <c r="C20" t="s">
        <v>38</v>
      </c>
      <c r="D20">
        <v>3</v>
      </c>
      <c r="E20">
        <v>3</v>
      </c>
      <c r="F20">
        <v>3</v>
      </c>
      <c r="G20" t="s">
        <v>67</v>
      </c>
      <c r="H20" t="s">
        <v>40</v>
      </c>
      <c r="I20" t="s">
        <v>41</v>
      </c>
      <c r="J20" t="s">
        <v>156</v>
      </c>
      <c r="K20" t="s">
        <v>53</v>
      </c>
      <c r="L20">
        <v>1</v>
      </c>
      <c r="M20">
        <v>2</v>
      </c>
      <c r="N20">
        <v>2</v>
      </c>
      <c r="O20" t="s">
        <v>112</v>
      </c>
      <c r="P20" t="s">
        <v>83</v>
      </c>
      <c r="Q20" t="s">
        <v>97</v>
      </c>
      <c r="S20" t="s">
        <v>48</v>
      </c>
      <c r="T20">
        <v>3</v>
      </c>
      <c r="V20">
        <v>3</v>
      </c>
      <c r="W20" t="s">
        <v>126</v>
      </c>
      <c r="X20" t="s">
        <v>71</v>
      </c>
      <c r="Y20" t="s">
        <v>51</v>
      </c>
      <c r="Z20" t="s">
        <v>128</v>
      </c>
      <c r="AA20" t="s">
        <v>33</v>
      </c>
      <c r="AB20">
        <v>3</v>
      </c>
      <c r="AD20">
        <v>3</v>
      </c>
      <c r="AE20" t="s">
        <v>34</v>
      </c>
      <c r="AF20" t="s">
        <v>130</v>
      </c>
      <c r="AG20" t="s">
        <v>36</v>
      </c>
      <c r="AH20" t="s">
        <v>133</v>
      </c>
      <c r="AI20">
        <v>0</v>
      </c>
      <c r="AJ20">
        <v>51</v>
      </c>
    </row>
    <row r="21" spans="1:36" x14ac:dyDescent="0.4">
      <c r="A21" t="s">
        <v>771</v>
      </c>
      <c r="B21">
        <v>19</v>
      </c>
      <c r="C21" t="s">
        <v>45</v>
      </c>
      <c r="D21">
        <v>3</v>
      </c>
      <c r="F21">
        <v>3</v>
      </c>
      <c r="G21" t="s">
        <v>47</v>
      </c>
      <c r="H21" t="s">
        <v>92</v>
      </c>
      <c r="I21" t="s">
        <v>93</v>
      </c>
      <c r="J21" t="s">
        <v>143</v>
      </c>
      <c r="K21" t="s">
        <v>53</v>
      </c>
      <c r="L21">
        <v>3</v>
      </c>
      <c r="M21">
        <v>2</v>
      </c>
      <c r="N21">
        <v>3</v>
      </c>
      <c r="O21" t="s">
        <v>112</v>
      </c>
      <c r="P21" t="s">
        <v>83</v>
      </c>
      <c r="Q21" t="s">
        <v>105</v>
      </c>
      <c r="R21" t="s">
        <v>115</v>
      </c>
      <c r="S21" t="s">
        <v>48</v>
      </c>
      <c r="T21">
        <v>3</v>
      </c>
      <c r="V21">
        <v>2</v>
      </c>
      <c r="W21" t="s">
        <v>126</v>
      </c>
      <c r="X21" t="s">
        <v>71</v>
      </c>
      <c r="Y21" t="s">
        <v>90</v>
      </c>
      <c r="Z21" t="s">
        <v>128</v>
      </c>
      <c r="AA21" t="s">
        <v>43</v>
      </c>
      <c r="AB21">
        <v>1</v>
      </c>
      <c r="AD21">
        <v>2</v>
      </c>
      <c r="AE21" t="s">
        <v>44</v>
      </c>
      <c r="AF21" t="s">
        <v>136</v>
      </c>
      <c r="AG21" t="s">
        <v>137</v>
      </c>
      <c r="AH21" t="s">
        <v>138</v>
      </c>
      <c r="AI21">
        <v>0</v>
      </c>
      <c r="AJ21">
        <v>31</v>
      </c>
    </row>
    <row r="22" spans="1:36" x14ac:dyDescent="0.4">
      <c r="A22" t="s">
        <v>772</v>
      </c>
      <c r="B22">
        <v>20</v>
      </c>
      <c r="C22" t="s">
        <v>43</v>
      </c>
      <c r="D22">
        <v>3</v>
      </c>
      <c r="F22">
        <v>3</v>
      </c>
      <c r="G22" t="s">
        <v>44</v>
      </c>
      <c r="H22" t="s">
        <v>136</v>
      </c>
      <c r="I22" t="s">
        <v>75</v>
      </c>
      <c r="J22" t="s">
        <v>138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105</v>
      </c>
      <c r="R22" t="s">
        <v>115</v>
      </c>
      <c r="S22" t="s">
        <v>48</v>
      </c>
      <c r="T22">
        <v>3</v>
      </c>
      <c r="V22">
        <v>1</v>
      </c>
      <c r="W22" t="s">
        <v>126</v>
      </c>
      <c r="X22" t="s">
        <v>71</v>
      </c>
      <c r="Y22" t="s">
        <v>127</v>
      </c>
      <c r="Z22" t="s">
        <v>128</v>
      </c>
      <c r="AA22" t="s">
        <v>63</v>
      </c>
      <c r="AB22">
        <v>2</v>
      </c>
      <c r="AD22">
        <v>2</v>
      </c>
      <c r="AE22" t="s">
        <v>72</v>
      </c>
      <c r="AF22" t="s">
        <v>95</v>
      </c>
      <c r="AG22" t="s">
        <v>148</v>
      </c>
      <c r="AH22" t="s">
        <v>149</v>
      </c>
      <c r="AI22">
        <v>0</v>
      </c>
      <c r="AJ22">
        <v>33</v>
      </c>
    </row>
    <row r="23" spans="1:36" x14ac:dyDescent="0.4">
      <c r="A23" t="s">
        <v>773</v>
      </c>
      <c r="B23">
        <v>21</v>
      </c>
      <c r="C23" t="s">
        <v>43</v>
      </c>
      <c r="D23">
        <v>3</v>
      </c>
      <c r="F23">
        <v>3</v>
      </c>
      <c r="G23" t="s">
        <v>44</v>
      </c>
      <c r="H23" t="s">
        <v>136</v>
      </c>
      <c r="I23" t="s">
        <v>75</v>
      </c>
      <c r="J23" t="s">
        <v>138</v>
      </c>
      <c r="K23" t="s">
        <v>53</v>
      </c>
      <c r="L23">
        <v>2</v>
      </c>
      <c r="M23">
        <v>2</v>
      </c>
      <c r="N23">
        <v>3</v>
      </c>
      <c r="O23" t="s">
        <v>112</v>
      </c>
      <c r="P23" t="s">
        <v>83</v>
      </c>
      <c r="Q23" t="s">
        <v>105</v>
      </c>
      <c r="R23" t="s">
        <v>115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127</v>
      </c>
      <c r="Z23" t="s">
        <v>128</v>
      </c>
      <c r="AA23" t="s">
        <v>38</v>
      </c>
      <c r="AB23">
        <v>1</v>
      </c>
      <c r="AC23">
        <v>1</v>
      </c>
      <c r="AD23">
        <v>1</v>
      </c>
      <c r="AE23" t="s">
        <v>67</v>
      </c>
      <c r="AF23" t="s">
        <v>40</v>
      </c>
      <c r="AG23" t="s">
        <v>154</v>
      </c>
      <c r="AH23" t="s">
        <v>156</v>
      </c>
      <c r="AI23">
        <v>0</v>
      </c>
      <c r="AJ23">
        <v>31</v>
      </c>
    </row>
    <row r="24" spans="1:36" x14ac:dyDescent="0.4">
      <c r="A24" t="s">
        <v>774</v>
      </c>
      <c r="B24">
        <v>22</v>
      </c>
      <c r="C24" t="s">
        <v>45</v>
      </c>
      <c r="D24">
        <v>3</v>
      </c>
      <c r="F24">
        <v>3</v>
      </c>
      <c r="G24" t="s">
        <v>86</v>
      </c>
      <c r="H24" t="s">
        <v>76</v>
      </c>
      <c r="I24" t="s">
        <v>93</v>
      </c>
      <c r="J24" t="s">
        <v>144</v>
      </c>
      <c r="K24" t="s">
        <v>53</v>
      </c>
      <c r="L24">
        <v>1</v>
      </c>
      <c r="M24">
        <v>2</v>
      </c>
      <c r="N24">
        <v>3</v>
      </c>
      <c r="O24" t="s">
        <v>111</v>
      </c>
      <c r="P24" t="s">
        <v>83</v>
      </c>
      <c r="Q24" t="s">
        <v>97</v>
      </c>
      <c r="R24" t="s">
        <v>115</v>
      </c>
      <c r="S24" t="s">
        <v>48</v>
      </c>
      <c r="T24">
        <v>3</v>
      </c>
      <c r="V24">
        <v>3</v>
      </c>
      <c r="W24" t="s">
        <v>126</v>
      </c>
      <c r="X24" t="s">
        <v>71</v>
      </c>
      <c r="Y24" t="s">
        <v>51</v>
      </c>
      <c r="Z24" t="s">
        <v>128</v>
      </c>
      <c r="AA24" t="s">
        <v>63</v>
      </c>
      <c r="AB24">
        <v>3</v>
      </c>
      <c r="AD24">
        <v>3</v>
      </c>
      <c r="AE24" t="s">
        <v>72</v>
      </c>
      <c r="AF24" t="s">
        <v>95</v>
      </c>
      <c r="AG24" t="s">
        <v>148</v>
      </c>
      <c r="AH24" t="s">
        <v>151</v>
      </c>
      <c r="AI24">
        <v>0</v>
      </c>
      <c r="AJ24">
        <v>48</v>
      </c>
    </row>
    <row r="25" spans="1:36" x14ac:dyDescent="0.4">
      <c r="A25" t="s">
        <v>775</v>
      </c>
      <c r="B25">
        <v>23</v>
      </c>
      <c r="C25" t="s">
        <v>38</v>
      </c>
      <c r="D25">
        <v>3</v>
      </c>
      <c r="E25">
        <v>3</v>
      </c>
      <c r="F25">
        <v>3</v>
      </c>
      <c r="G25" t="s">
        <v>67</v>
      </c>
      <c r="H25" t="s">
        <v>40</v>
      </c>
      <c r="I25" t="s">
        <v>153</v>
      </c>
      <c r="J25" t="s">
        <v>156</v>
      </c>
      <c r="K25" t="s">
        <v>53</v>
      </c>
      <c r="L25">
        <v>3</v>
      </c>
      <c r="M25">
        <v>3</v>
      </c>
      <c r="N25">
        <v>3</v>
      </c>
      <c r="O25" t="s">
        <v>54</v>
      </c>
      <c r="P25" t="s">
        <v>83</v>
      </c>
      <c r="Q25" t="s">
        <v>97</v>
      </c>
      <c r="R25" t="s">
        <v>115</v>
      </c>
      <c r="S25" t="s">
        <v>48</v>
      </c>
      <c r="T25">
        <v>1</v>
      </c>
      <c r="V25">
        <v>2</v>
      </c>
      <c r="W25" t="s">
        <v>126</v>
      </c>
      <c r="X25" t="s">
        <v>71</v>
      </c>
      <c r="Y25" t="s">
        <v>51</v>
      </c>
      <c r="Z25" t="s">
        <v>128</v>
      </c>
      <c r="AA25" t="s">
        <v>45</v>
      </c>
      <c r="AB25">
        <v>3</v>
      </c>
      <c r="AD25">
        <v>3</v>
      </c>
      <c r="AE25" t="s">
        <v>47</v>
      </c>
      <c r="AF25" t="s">
        <v>141</v>
      </c>
      <c r="AG25" t="s">
        <v>102</v>
      </c>
      <c r="AH25" t="s">
        <v>143</v>
      </c>
      <c r="AI25">
        <v>0</v>
      </c>
      <c r="AJ25">
        <v>36</v>
      </c>
    </row>
    <row r="26" spans="1:36" x14ac:dyDescent="0.4">
      <c r="A26" t="s">
        <v>776</v>
      </c>
      <c r="B26">
        <v>24</v>
      </c>
      <c r="C26" t="s">
        <v>63</v>
      </c>
      <c r="D26">
        <v>3</v>
      </c>
      <c r="F26">
        <v>3</v>
      </c>
      <c r="G26" t="s">
        <v>72</v>
      </c>
      <c r="H26" t="s">
        <v>95</v>
      </c>
      <c r="I26" t="s">
        <v>148</v>
      </c>
      <c r="J26" t="s">
        <v>149</v>
      </c>
      <c r="K26" t="s">
        <v>53</v>
      </c>
      <c r="L26">
        <v>3</v>
      </c>
      <c r="M26">
        <v>1</v>
      </c>
      <c r="N26">
        <v>3</v>
      </c>
      <c r="O26" t="s">
        <v>54</v>
      </c>
      <c r="P26" t="s">
        <v>83</v>
      </c>
      <c r="Q26" t="s">
        <v>97</v>
      </c>
      <c r="R26" t="s">
        <v>115</v>
      </c>
      <c r="S26" t="s">
        <v>48</v>
      </c>
      <c r="T26">
        <v>3</v>
      </c>
      <c r="V26">
        <v>3</v>
      </c>
      <c r="W26" t="s">
        <v>126</v>
      </c>
      <c r="X26" t="s">
        <v>71</v>
      </c>
      <c r="Y26" t="s">
        <v>51</v>
      </c>
      <c r="Z26" t="s">
        <v>128</v>
      </c>
      <c r="AA26" t="s">
        <v>38</v>
      </c>
      <c r="AB26">
        <v>3</v>
      </c>
      <c r="AC26">
        <v>3</v>
      </c>
      <c r="AD26">
        <v>3</v>
      </c>
      <c r="AE26" t="s">
        <v>152</v>
      </c>
      <c r="AF26" t="s">
        <v>40</v>
      </c>
      <c r="AG26" t="s">
        <v>154</v>
      </c>
      <c r="AH26" t="s">
        <v>156</v>
      </c>
      <c r="AI26">
        <v>0</v>
      </c>
      <c r="AJ26">
        <v>37</v>
      </c>
    </row>
    <row r="27" spans="1:36" x14ac:dyDescent="0.4">
      <c r="A27" t="s">
        <v>777</v>
      </c>
      <c r="B27">
        <v>25</v>
      </c>
      <c r="C27" t="s">
        <v>45</v>
      </c>
      <c r="D27">
        <v>3</v>
      </c>
      <c r="F27">
        <v>3</v>
      </c>
      <c r="G27" t="s">
        <v>47</v>
      </c>
      <c r="H27" t="s">
        <v>76</v>
      </c>
      <c r="I27" t="s">
        <v>142</v>
      </c>
      <c r="J27" t="s">
        <v>143</v>
      </c>
      <c r="K27" t="s">
        <v>53</v>
      </c>
      <c r="L27">
        <v>2</v>
      </c>
      <c r="M27">
        <v>1</v>
      </c>
      <c r="N27">
        <v>3</v>
      </c>
      <c r="O27" t="s">
        <v>112</v>
      </c>
      <c r="P27" t="s">
        <v>83</v>
      </c>
      <c r="Q27" t="s">
        <v>97</v>
      </c>
      <c r="R27" t="s">
        <v>115</v>
      </c>
      <c r="S27" t="s">
        <v>33</v>
      </c>
      <c r="T27">
        <v>2</v>
      </c>
      <c r="V27">
        <v>3</v>
      </c>
      <c r="W27" t="s">
        <v>34</v>
      </c>
      <c r="X27" t="s">
        <v>130</v>
      </c>
      <c r="Y27" t="s">
        <v>132</v>
      </c>
      <c r="Z27" t="s">
        <v>133</v>
      </c>
      <c r="AA27" t="s">
        <v>43</v>
      </c>
      <c r="AB27">
        <v>1</v>
      </c>
      <c r="AD27">
        <v>3</v>
      </c>
      <c r="AE27" t="s">
        <v>44</v>
      </c>
      <c r="AF27" t="s">
        <v>136</v>
      </c>
      <c r="AG27" t="s">
        <v>75</v>
      </c>
      <c r="AH27" t="s">
        <v>138</v>
      </c>
      <c r="AI27">
        <v>0</v>
      </c>
      <c r="AJ27">
        <v>30</v>
      </c>
    </row>
    <row r="28" spans="1:36" x14ac:dyDescent="0.4">
      <c r="A28" t="s">
        <v>778</v>
      </c>
      <c r="B28">
        <v>26</v>
      </c>
      <c r="C28" t="s">
        <v>33</v>
      </c>
      <c r="D28">
        <v>3</v>
      </c>
      <c r="F28">
        <v>3</v>
      </c>
      <c r="G28" t="s">
        <v>34</v>
      </c>
      <c r="H28" t="s">
        <v>130</v>
      </c>
      <c r="I28" t="s">
        <v>132</v>
      </c>
      <c r="J28" t="s">
        <v>133</v>
      </c>
      <c r="K28" t="s">
        <v>53</v>
      </c>
      <c r="L28">
        <v>2</v>
      </c>
      <c r="M28">
        <v>3</v>
      </c>
      <c r="N28">
        <v>3</v>
      </c>
      <c r="O28" t="s">
        <v>112</v>
      </c>
      <c r="P28" t="s">
        <v>83</v>
      </c>
      <c r="Q28" t="s">
        <v>97</v>
      </c>
      <c r="R28" t="s">
        <v>115</v>
      </c>
      <c r="S28" t="s">
        <v>43</v>
      </c>
      <c r="T28">
        <v>3</v>
      </c>
      <c r="V28">
        <v>3</v>
      </c>
      <c r="W28" t="s">
        <v>44</v>
      </c>
      <c r="X28" t="s">
        <v>136</v>
      </c>
      <c r="Y28" t="s">
        <v>75</v>
      </c>
      <c r="Z28" t="s">
        <v>139</v>
      </c>
      <c r="AA28" t="s">
        <v>63</v>
      </c>
      <c r="AB28">
        <v>3</v>
      </c>
      <c r="AD28">
        <v>3</v>
      </c>
      <c r="AE28" t="s">
        <v>72</v>
      </c>
      <c r="AF28" t="s">
        <v>146</v>
      </c>
      <c r="AG28" t="s">
        <v>148</v>
      </c>
      <c r="AH28" t="s">
        <v>151</v>
      </c>
      <c r="AI28">
        <v>0</v>
      </c>
      <c r="AJ28">
        <v>68</v>
      </c>
    </row>
    <row r="29" spans="1:36" x14ac:dyDescent="0.4">
      <c r="A29" t="s">
        <v>779</v>
      </c>
      <c r="B29">
        <v>27</v>
      </c>
      <c r="C29" t="s">
        <v>43</v>
      </c>
      <c r="D29">
        <v>3</v>
      </c>
      <c r="F29">
        <v>3</v>
      </c>
      <c r="G29" t="s">
        <v>44</v>
      </c>
      <c r="H29" t="s">
        <v>99</v>
      </c>
      <c r="I29" t="s">
        <v>75</v>
      </c>
      <c r="J29" t="s">
        <v>139</v>
      </c>
      <c r="K29" t="s">
        <v>53</v>
      </c>
      <c r="L29">
        <v>1</v>
      </c>
      <c r="M29">
        <v>1</v>
      </c>
      <c r="N29">
        <v>3</v>
      </c>
      <c r="O29" t="s">
        <v>112</v>
      </c>
      <c r="P29" t="s">
        <v>83</v>
      </c>
      <c r="Q29" t="s">
        <v>97</v>
      </c>
      <c r="S29" t="s">
        <v>33</v>
      </c>
      <c r="T29">
        <v>3</v>
      </c>
      <c r="V29">
        <v>3</v>
      </c>
      <c r="W29" t="s">
        <v>34</v>
      </c>
      <c r="X29" t="s">
        <v>130</v>
      </c>
      <c r="Y29" t="s">
        <v>131</v>
      </c>
      <c r="Z29" t="s">
        <v>133</v>
      </c>
      <c r="AA29" t="s">
        <v>38</v>
      </c>
      <c r="AB29">
        <v>3</v>
      </c>
      <c r="AC29">
        <v>3</v>
      </c>
      <c r="AD29">
        <v>3</v>
      </c>
      <c r="AE29" t="s">
        <v>67</v>
      </c>
      <c r="AF29" t="s">
        <v>96</v>
      </c>
      <c r="AG29" t="s">
        <v>153</v>
      </c>
      <c r="AH29" t="s">
        <v>156</v>
      </c>
      <c r="AI29">
        <v>0</v>
      </c>
      <c r="AJ29">
        <v>34</v>
      </c>
    </row>
    <row r="30" spans="1:36" x14ac:dyDescent="0.4">
      <c r="A30" t="s">
        <v>780</v>
      </c>
      <c r="B30">
        <v>28</v>
      </c>
      <c r="C30" t="s">
        <v>63</v>
      </c>
      <c r="D30">
        <v>3</v>
      </c>
      <c r="F30">
        <v>3</v>
      </c>
      <c r="G30" t="s">
        <v>72</v>
      </c>
      <c r="H30" t="s">
        <v>146</v>
      </c>
      <c r="I30" t="s">
        <v>148</v>
      </c>
      <c r="J30" t="s">
        <v>149</v>
      </c>
      <c r="K30" t="s">
        <v>53</v>
      </c>
      <c r="L30">
        <v>1</v>
      </c>
      <c r="M30">
        <v>1</v>
      </c>
      <c r="N30">
        <v>3</v>
      </c>
      <c r="O30" t="s">
        <v>112</v>
      </c>
      <c r="P30" t="s">
        <v>83</v>
      </c>
      <c r="Q30" t="s">
        <v>114</v>
      </c>
      <c r="R30" t="s">
        <v>115</v>
      </c>
      <c r="S30" t="s">
        <v>33</v>
      </c>
      <c r="T30">
        <v>3</v>
      </c>
      <c r="V30">
        <v>3</v>
      </c>
      <c r="W30" t="s">
        <v>34</v>
      </c>
      <c r="X30" t="s">
        <v>130</v>
      </c>
      <c r="Y30" t="s">
        <v>132</v>
      </c>
      <c r="Z30" t="s">
        <v>133</v>
      </c>
      <c r="AA30" t="s">
        <v>45</v>
      </c>
      <c r="AB30">
        <v>3</v>
      </c>
      <c r="AD30">
        <v>3</v>
      </c>
      <c r="AE30" t="s">
        <v>47</v>
      </c>
      <c r="AF30" t="s">
        <v>141</v>
      </c>
      <c r="AG30" t="s">
        <v>142</v>
      </c>
      <c r="AH30" t="s">
        <v>143</v>
      </c>
      <c r="AI30">
        <v>0</v>
      </c>
      <c r="AJ30">
        <v>43</v>
      </c>
    </row>
    <row r="31" spans="1:36" x14ac:dyDescent="0.4">
      <c r="A31" t="s">
        <v>781</v>
      </c>
      <c r="B31">
        <v>29</v>
      </c>
      <c r="C31" t="s">
        <v>33</v>
      </c>
      <c r="D31">
        <v>3</v>
      </c>
      <c r="F31">
        <v>3</v>
      </c>
      <c r="G31" t="s">
        <v>34</v>
      </c>
      <c r="H31" t="s">
        <v>130</v>
      </c>
      <c r="I31" t="s">
        <v>132</v>
      </c>
      <c r="J31" t="s">
        <v>133</v>
      </c>
      <c r="K31" t="s">
        <v>53</v>
      </c>
      <c r="L31">
        <v>1</v>
      </c>
      <c r="M31">
        <v>1</v>
      </c>
      <c r="N31">
        <v>3</v>
      </c>
      <c r="O31" t="s">
        <v>112</v>
      </c>
      <c r="P31" t="s">
        <v>83</v>
      </c>
      <c r="Q31" t="s">
        <v>97</v>
      </c>
      <c r="S31" t="s">
        <v>45</v>
      </c>
      <c r="T31">
        <v>3</v>
      </c>
      <c r="V31">
        <v>2</v>
      </c>
      <c r="W31" t="s">
        <v>86</v>
      </c>
      <c r="X31" t="s">
        <v>76</v>
      </c>
      <c r="Y31" t="s">
        <v>102</v>
      </c>
      <c r="Z31" t="s">
        <v>144</v>
      </c>
      <c r="AA31" t="s">
        <v>38</v>
      </c>
      <c r="AB31">
        <v>3</v>
      </c>
      <c r="AC31">
        <v>3</v>
      </c>
      <c r="AD31">
        <v>3</v>
      </c>
      <c r="AE31" t="s">
        <v>152</v>
      </c>
      <c r="AF31" t="s">
        <v>96</v>
      </c>
      <c r="AG31" t="s">
        <v>153</v>
      </c>
      <c r="AH31" t="s">
        <v>156</v>
      </c>
      <c r="AI31">
        <v>0</v>
      </c>
      <c r="AJ31">
        <v>32</v>
      </c>
    </row>
    <row r="32" spans="1:36" x14ac:dyDescent="0.4">
      <c r="A32" t="s">
        <v>782</v>
      </c>
      <c r="B32">
        <v>30</v>
      </c>
      <c r="C32" t="s">
        <v>33</v>
      </c>
      <c r="D32">
        <v>3</v>
      </c>
      <c r="F32">
        <v>3</v>
      </c>
      <c r="G32" t="s">
        <v>34</v>
      </c>
      <c r="H32" t="s">
        <v>130</v>
      </c>
      <c r="I32" t="s">
        <v>132</v>
      </c>
      <c r="J32" t="s">
        <v>133</v>
      </c>
      <c r="K32" t="s">
        <v>53</v>
      </c>
      <c r="L32">
        <v>1</v>
      </c>
      <c r="M32">
        <v>1</v>
      </c>
      <c r="N32">
        <v>1</v>
      </c>
      <c r="O32" t="s">
        <v>112</v>
      </c>
      <c r="P32" t="s">
        <v>83</v>
      </c>
      <c r="Q32" t="s">
        <v>97</v>
      </c>
      <c r="R32" t="s">
        <v>115</v>
      </c>
      <c r="S32" t="s">
        <v>63</v>
      </c>
      <c r="T32">
        <v>3</v>
      </c>
      <c r="V32">
        <v>3</v>
      </c>
      <c r="W32" t="s">
        <v>72</v>
      </c>
      <c r="X32" t="s">
        <v>95</v>
      </c>
      <c r="Y32" t="s">
        <v>147</v>
      </c>
      <c r="Z32" t="s">
        <v>151</v>
      </c>
      <c r="AA32" t="s">
        <v>38</v>
      </c>
      <c r="AB32">
        <v>1</v>
      </c>
      <c r="AC32">
        <v>3</v>
      </c>
      <c r="AD32">
        <v>3</v>
      </c>
      <c r="AE32" t="s">
        <v>152</v>
      </c>
      <c r="AF32" t="s">
        <v>96</v>
      </c>
      <c r="AG32" t="s">
        <v>153</v>
      </c>
      <c r="AH32" t="s">
        <v>156</v>
      </c>
      <c r="AI32">
        <v>0</v>
      </c>
      <c r="AJ32">
        <v>40</v>
      </c>
    </row>
    <row r="33" spans="1:36" x14ac:dyDescent="0.4">
      <c r="A33" t="s">
        <v>783</v>
      </c>
      <c r="B33">
        <v>31</v>
      </c>
      <c r="C33" t="s">
        <v>63</v>
      </c>
      <c r="D33">
        <v>3</v>
      </c>
      <c r="F33">
        <v>3</v>
      </c>
      <c r="G33" t="s">
        <v>72</v>
      </c>
      <c r="H33" t="s">
        <v>146</v>
      </c>
      <c r="I33" t="s">
        <v>148</v>
      </c>
      <c r="J33" t="s">
        <v>150</v>
      </c>
      <c r="K33" t="s">
        <v>53</v>
      </c>
      <c r="L33">
        <v>3</v>
      </c>
      <c r="M33">
        <v>3</v>
      </c>
      <c r="N33">
        <v>3</v>
      </c>
      <c r="O33" t="s">
        <v>112</v>
      </c>
      <c r="P33" t="s">
        <v>83</v>
      </c>
      <c r="Q33" t="s">
        <v>114</v>
      </c>
      <c r="R33" t="s">
        <v>115</v>
      </c>
      <c r="S33" t="s">
        <v>43</v>
      </c>
      <c r="T33">
        <v>3</v>
      </c>
      <c r="V33">
        <v>3</v>
      </c>
      <c r="W33" t="s">
        <v>44</v>
      </c>
      <c r="X33" t="s">
        <v>136</v>
      </c>
      <c r="Y33" t="s">
        <v>75</v>
      </c>
      <c r="Z33" t="s">
        <v>138</v>
      </c>
      <c r="AA33" t="s">
        <v>45</v>
      </c>
      <c r="AB33">
        <v>3</v>
      </c>
      <c r="AD33">
        <v>3</v>
      </c>
      <c r="AE33" t="s">
        <v>86</v>
      </c>
      <c r="AF33" t="s">
        <v>141</v>
      </c>
      <c r="AG33" t="s">
        <v>142</v>
      </c>
      <c r="AH33" t="s">
        <v>143</v>
      </c>
      <c r="AI33">
        <v>0</v>
      </c>
      <c r="AJ33">
        <v>62</v>
      </c>
    </row>
    <row r="34" spans="1:36" x14ac:dyDescent="0.4">
      <c r="A34" t="s">
        <v>784</v>
      </c>
      <c r="B34">
        <v>32</v>
      </c>
      <c r="C34" t="s">
        <v>38</v>
      </c>
      <c r="D34">
        <v>3</v>
      </c>
      <c r="E34">
        <v>3</v>
      </c>
      <c r="F34">
        <v>3</v>
      </c>
      <c r="G34" t="s">
        <v>152</v>
      </c>
      <c r="H34" t="s">
        <v>40</v>
      </c>
      <c r="I34" t="s">
        <v>153</v>
      </c>
      <c r="J34" t="s">
        <v>156</v>
      </c>
      <c r="K34" t="s">
        <v>53</v>
      </c>
      <c r="L34">
        <v>3</v>
      </c>
      <c r="M34">
        <v>3</v>
      </c>
      <c r="N34">
        <v>3</v>
      </c>
      <c r="O34" t="s">
        <v>112</v>
      </c>
      <c r="P34" t="s">
        <v>83</v>
      </c>
      <c r="Q34" t="s">
        <v>105</v>
      </c>
      <c r="R34" t="s">
        <v>115</v>
      </c>
      <c r="S34" t="s">
        <v>43</v>
      </c>
      <c r="T34">
        <v>3</v>
      </c>
      <c r="V34">
        <v>3</v>
      </c>
      <c r="W34" t="s">
        <v>44</v>
      </c>
      <c r="X34" t="s">
        <v>136</v>
      </c>
      <c r="Y34" t="s">
        <v>75</v>
      </c>
      <c r="Z34" t="s">
        <v>138</v>
      </c>
      <c r="AA34" t="s">
        <v>45</v>
      </c>
      <c r="AB34">
        <v>3</v>
      </c>
      <c r="AD34">
        <v>3</v>
      </c>
      <c r="AE34" t="s">
        <v>86</v>
      </c>
      <c r="AF34" t="s">
        <v>76</v>
      </c>
      <c r="AG34" t="s">
        <v>142</v>
      </c>
      <c r="AH34" t="s">
        <v>143</v>
      </c>
      <c r="AI34">
        <v>0</v>
      </c>
      <c r="AJ34">
        <v>56</v>
      </c>
    </row>
    <row r="35" spans="1:36" x14ac:dyDescent="0.4">
      <c r="A35" t="s">
        <v>785</v>
      </c>
      <c r="B35">
        <v>33</v>
      </c>
      <c r="C35" t="s">
        <v>53</v>
      </c>
      <c r="D35">
        <v>3</v>
      </c>
      <c r="E35">
        <v>3</v>
      </c>
      <c r="F35">
        <v>3</v>
      </c>
      <c r="G35" t="s">
        <v>112</v>
      </c>
      <c r="H35" t="s">
        <v>83</v>
      </c>
      <c r="I35" t="s">
        <v>114</v>
      </c>
      <c r="J35" t="s">
        <v>115</v>
      </c>
      <c r="K35" t="s">
        <v>43</v>
      </c>
      <c r="L35">
        <v>3</v>
      </c>
      <c r="N35">
        <v>3</v>
      </c>
      <c r="O35" t="s">
        <v>44</v>
      </c>
      <c r="P35" t="s">
        <v>99</v>
      </c>
      <c r="Q35" t="s">
        <v>100</v>
      </c>
      <c r="R35" t="s">
        <v>139</v>
      </c>
      <c r="S35" t="s">
        <v>63</v>
      </c>
      <c r="T35">
        <v>2</v>
      </c>
      <c r="V35">
        <v>3</v>
      </c>
      <c r="W35" t="s">
        <v>72</v>
      </c>
      <c r="X35" t="s">
        <v>95</v>
      </c>
      <c r="Y35" t="s">
        <v>148</v>
      </c>
      <c r="Z35" t="s">
        <v>151</v>
      </c>
      <c r="AA35" t="s">
        <v>38</v>
      </c>
      <c r="AB35">
        <v>3</v>
      </c>
      <c r="AC35">
        <v>2</v>
      </c>
      <c r="AD35">
        <v>3</v>
      </c>
      <c r="AE35" t="s">
        <v>67</v>
      </c>
      <c r="AF35" t="s">
        <v>40</v>
      </c>
      <c r="AG35" t="s">
        <v>153</v>
      </c>
      <c r="AH35" t="s">
        <v>156</v>
      </c>
      <c r="AI35">
        <v>0</v>
      </c>
      <c r="AJ35">
        <v>45</v>
      </c>
    </row>
    <row r="36" spans="1:36" x14ac:dyDescent="0.4">
      <c r="A36" t="s">
        <v>786</v>
      </c>
      <c r="B36">
        <v>34</v>
      </c>
      <c r="C36" t="s">
        <v>38</v>
      </c>
      <c r="D36">
        <v>3</v>
      </c>
      <c r="E36">
        <v>3</v>
      </c>
      <c r="F36">
        <v>3</v>
      </c>
      <c r="G36" t="s">
        <v>152</v>
      </c>
      <c r="H36" t="s">
        <v>96</v>
      </c>
      <c r="I36" t="s">
        <v>153</v>
      </c>
      <c r="J36" t="s">
        <v>156</v>
      </c>
      <c r="K36" t="s">
        <v>53</v>
      </c>
      <c r="L36">
        <v>3</v>
      </c>
      <c r="M36">
        <v>2</v>
      </c>
      <c r="N36">
        <v>3</v>
      </c>
      <c r="O36" t="s">
        <v>112</v>
      </c>
      <c r="P36" t="s">
        <v>83</v>
      </c>
      <c r="Q36" t="s">
        <v>114</v>
      </c>
      <c r="R36" t="s">
        <v>115</v>
      </c>
      <c r="S36" t="s">
        <v>45</v>
      </c>
      <c r="T36">
        <v>3</v>
      </c>
      <c r="V36">
        <v>3</v>
      </c>
      <c r="W36" t="s">
        <v>86</v>
      </c>
      <c r="X36" t="s">
        <v>141</v>
      </c>
      <c r="Y36" t="s">
        <v>142</v>
      </c>
      <c r="Z36" t="s">
        <v>143</v>
      </c>
      <c r="AA36" t="s">
        <v>63</v>
      </c>
      <c r="AB36">
        <v>3</v>
      </c>
      <c r="AD36">
        <v>3</v>
      </c>
      <c r="AE36" t="s">
        <v>72</v>
      </c>
      <c r="AF36" t="s">
        <v>146</v>
      </c>
      <c r="AG36" t="s">
        <v>148</v>
      </c>
      <c r="AH36" t="s">
        <v>150</v>
      </c>
      <c r="AI36">
        <v>0</v>
      </c>
      <c r="AJ36">
        <v>78</v>
      </c>
    </row>
    <row r="37" spans="1:36" x14ac:dyDescent="0.4">
      <c r="A37" t="s">
        <v>787</v>
      </c>
      <c r="B37">
        <v>35</v>
      </c>
      <c r="C37" t="s">
        <v>56</v>
      </c>
      <c r="D37">
        <v>3</v>
      </c>
      <c r="F37">
        <v>3</v>
      </c>
      <c r="G37" t="s">
        <v>120</v>
      </c>
      <c r="H37" t="s">
        <v>69</v>
      </c>
      <c r="I37" t="s">
        <v>87</v>
      </c>
      <c r="J37" t="s">
        <v>88</v>
      </c>
      <c r="K37" t="s">
        <v>48</v>
      </c>
      <c r="L37">
        <v>3</v>
      </c>
      <c r="N37">
        <v>3</v>
      </c>
      <c r="O37" t="s">
        <v>126</v>
      </c>
      <c r="P37" t="s">
        <v>84</v>
      </c>
      <c r="Q37" t="s">
        <v>51</v>
      </c>
      <c r="R37" t="s">
        <v>128</v>
      </c>
      <c r="S37" t="s">
        <v>33</v>
      </c>
      <c r="T37">
        <v>3</v>
      </c>
      <c r="V37">
        <v>3</v>
      </c>
      <c r="W37" t="s">
        <v>34</v>
      </c>
      <c r="X37" t="s">
        <v>130</v>
      </c>
      <c r="Y37" t="s">
        <v>132</v>
      </c>
      <c r="Z37" t="s">
        <v>133</v>
      </c>
      <c r="AA37" t="s">
        <v>43</v>
      </c>
      <c r="AB37">
        <v>1</v>
      </c>
      <c r="AD37">
        <v>1</v>
      </c>
      <c r="AE37" t="s">
        <v>44</v>
      </c>
      <c r="AF37" t="s">
        <v>136</v>
      </c>
      <c r="AG37" t="s">
        <v>137</v>
      </c>
      <c r="AI37">
        <v>0</v>
      </c>
      <c r="AJ37">
        <v>30</v>
      </c>
    </row>
    <row r="38" spans="1:36" x14ac:dyDescent="0.4">
      <c r="A38" t="s">
        <v>788</v>
      </c>
      <c r="B38">
        <v>36</v>
      </c>
      <c r="C38" t="s">
        <v>56</v>
      </c>
      <c r="D38">
        <v>2</v>
      </c>
      <c r="F38">
        <v>3</v>
      </c>
      <c r="G38" t="s">
        <v>120</v>
      </c>
      <c r="H38" t="s">
        <v>69</v>
      </c>
      <c r="I38" t="s">
        <v>87</v>
      </c>
      <c r="K38" t="s">
        <v>48</v>
      </c>
      <c r="L38">
        <v>1</v>
      </c>
      <c r="N38">
        <v>2</v>
      </c>
      <c r="O38" t="s">
        <v>126</v>
      </c>
      <c r="P38" t="s">
        <v>84</v>
      </c>
      <c r="S38" t="s">
        <v>33</v>
      </c>
      <c r="T38">
        <v>2</v>
      </c>
      <c r="V38">
        <v>2</v>
      </c>
      <c r="W38" t="s">
        <v>34</v>
      </c>
      <c r="X38" t="s">
        <v>130</v>
      </c>
      <c r="Y38" t="s">
        <v>132</v>
      </c>
      <c r="Z38" t="s">
        <v>37</v>
      </c>
      <c r="AA38" t="s">
        <v>45</v>
      </c>
      <c r="AB38">
        <v>3</v>
      </c>
      <c r="AD38">
        <v>1</v>
      </c>
      <c r="AE38" t="s">
        <v>47</v>
      </c>
      <c r="AF38" t="s">
        <v>76</v>
      </c>
      <c r="AI38">
        <v>0</v>
      </c>
      <c r="AJ38">
        <v>20</v>
      </c>
    </row>
    <row r="39" spans="1:36" x14ac:dyDescent="0.4">
      <c r="A39" t="s">
        <v>789</v>
      </c>
      <c r="B39">
        <v>37</v>
      </c>
      <c r="C39" t="s">
        <v>48</v>
      </c>
      <c r="D39">
        <v>3</v>
      </c>
      <c r="F39">
        <v>3</v>
      </c>
      <c r="G39" t="s">
        <v>126</v>
      </c>
      <c r="H39" t="s">
        <v>71</v>
      </c>
      <c r="I39" t="s">
        <v>127</v>
      </c>
      <c r="J39" t="s">
        <v>128</v>
      </c>
      <c r="K39" t="s">
        <v>56</v>
      </c>
      <c r="L39">
        <v>1</v>
      </c>
      <c r="N39">
        <v>2</v>
      </c>
      <c r="O39" t="s">
        <v>120</v>
      </c>
      <c r="P39" t="s">
        <v>69</v>
      </c>
      <c r="Q39" t="s">
        <v>87</v>
      </c>
      <c r="R39" t="s">
        <v>88</v>
      </c>
      <c r="S39" t="s">
        <v>33</v>
      </c>
      <c r="T39">
        <v>3</v>
      </c>
      <c r="V39">
        <v>3</v>
      </c>
      <c r="W39" t="s">
        <v>34</v>
      </c>
      <c r="X39" t="s">
        <v>130</v>
      </c>
      <c r="Y39" t="s">
        <v>132</v>
      </c>
      <c r="Z39" t="s">
        <v>133</v>
      </c>
      <c r="AA39" t="s">
        <v>63</v>
      </c>
      <c r="AB39">
        <v>1</v>
      </c>
      <c r="AD39">
        <v>3</v>
      </c>
      <c r="AE39" t="s">
        <v>72</v>
      </c>
      <c r="AF39" t="s">
        <v>146</v>
      </c>
      <c r="AG39" t="s">
        <v>148</v>
      </c>
      <c r="AH39" t="s">
        <v>150</v>
      </c>
      <c r="AI39">
        <v>0</v>
      </c>
      <c r="AJ39">
        <v>28</v>
      </c>
    </row>
    <row r="40" spans="1:36" x14ac:dyDescent="0.4">
      <c r="A40" t="s">
        <v>790</v>
      </c>
      <c r="B40">
        <v>38</v>
      </c>
      <c r="C40" t="s">
        <v>48</v>
      </c>
      <c r="D40">
        <v>3</v>
      </c>
      <c r="F40">
        <v>3</v>
      </c>
      <c r="G40" t="s">
        <v>126</v>
      </c>
      <c r="H40" t="s">
        <v>71</v>
      </c>
      <c r="I40" t="s">
        <v>127</v>
      </c>
      <c r="K40" t="s">
        <v>56</v>
      </c>
      <c r="L40">
        <v>2</v>
      </c>
      <c r="N40">
        <v>3</v>
      </c>
      <c r="O40" t="s">
        <v>120</v>
      </c>
      <c r="P40" t="s">
        <v>69</v>
      </c>
      <c r="Q40" t="s">
        <v>87</v>
      </c>
      <c r="R40" t="s">
        <v>88</v>
      </c>
      <c r="S40" t="s">
        <v>33</v>
      </c>
      <c r="T40">
        <v>1</v>
      </c>
      <c r="V40">
        <v>3</v>
      </c>
      <c r="W40" t="s">
        <v>34</v>
      </c>
      <c r="X40" t="s">
        <v>130</v>
      </c>
      <c r="Y40" t="s">
        <v>132</v>
      </c>
      <c r="Z40" t="s">
        <v>133</v>
      </c>
      <c r="AA40" t="s">
        <v>38</v>
      </c>
      <c r="AB40">
        <v>1</v>
      </c>
      <c r="AC40">
        <v>1</v>
      </c>
      <c r="AD40">
        <v>3</v>
      </c>
      <c r="AE40" t="s">
        <v>67</v>
      </c>
      <c r="AF40" t="s">
        <v>96</v>
      </c>
      <c r="AG40" t="s">
        <v>153</v>
      </c>
      <c r="AH40" t="s">
        <v>156</v>
      </c>
      <c r="AI40">
        <v>0</v>
      </c>
      <c r="AJ40">
        <v>27</v>
      </c>
    </row>
    <row r="41" spans="1:36" x14ac:dyDescent="0.4">
      <c r="A41" t="s">
        <v>791</v>
      </c>
      <c r="B41">
        <v>39</v>
      </c>
      <c r="C41" t="s">
        <v>43</v>
      </c>
      <c r="D41">
        <v>3</v>
      </c>
      <c r="F41">
        <v>3</v>
      </c>
      <c r="G41" t="s">
        <v>44</v>
      </c>
      <c r="H41" t="s">
        <v>136</v>
      </c>
      <c r="I41" t="s">
        <v>137</v>
      </c>
      <c r="J41" t="s">
        <v>138</v>
      </c>
      <c r="K41" t="s">
        <v>56</v>
      </c>
      <c r="L41">
        <v>3</v>
      </c>
      <c r="N41">
        <v>3</v>
      </c>
      <c r="O41" t="s">
        <v>120</v>
      </c>
      <c r="P41" t="s">
        <v>69</v>
      </c>
      <c r="Q41" t="s">
        <v>87</v>
      </c>
      <c r="R41" t="s">
        <v>124</v>
      </c>
      <c r="S41" t="s">
        <v>48</v>
      </c>
      <c r="T41">
        <v>1</v>
      </c>
      <c r="V41">
        <v>3</v>
      </c>
      <c r="W41" t="s">
        <v>126</v>
      </c>
      <c r="X41" t="s">
        <v>84</v>
      </c>
      <c r="Y41" t="s">
        <v>90</v>
      </c>
      <c r="Z41" t="s">
        <v>128</v>
      </c>
      <c r="AA41" t="s">
        <v>45</v>
      </c>
      <c r="AB41">
        <v>3</v>
      </c>
      <c r="AD41">
        <v>3</v>
      </c>
      <c r="AE41" t="s">
        <v>47</v>
      </c>
      <c r="AF41" t="s">
        <v>92</v>
      </c>
      <c r="AG41" t="s">
        <v>142</v>
      </c>
      <c r="AH41" t="s">
        <v>143</v>
      </c>
      <c r="AI41">
        <v>0</v>
      </c>
      <c r="AJ41">
        <v>55</v>
      </c>
    </row>
    <row r="42" spans="1:36" x14ac:dyDescent="0.4">
      <c r="A42" t="s">
        <v>792</v>
      </c>
      <c r="B42">
        <v>40</v>
      </c>
      <c r="C42" t="s">
        <v>63</v>
      </c>
      <c r="D42">
        <v>3</v>
      </c>
      <c r="F42">
        <v>3</v>
      </c>
      <c r="G42" t="s">
        <v>72</v>
      </c>
      <c r="H42" t="s">
        <v>146</v>
      </c>
      <c r="I42" t="s">
        <v>148</v>
      </c>
      <c r="J42" t="s">
        <v>150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88</v>
      </c>
      <c r="S42" t="s">
        <v>48</v>
      </c>
      <c r="T42">
        <v>1</v>
      </c>
      <c r="V42">
        <v>2</v>
      </c>
      <c r="W42" t="s">
        <v>126</v>
      </c>
      <c r="X42" t="s">
        <v>84</v>
      </c>
      <c r="Y42" t="s">
        <v>90</v>
      </c>
      <c r="Z42" t="s">
        <v>128</v>
      </c>
      <c r="AA42" t="s">
        <v>43</v>
      </c>
      <c r="AB42">
        <v>3</v>
      </c>
      <c r="AD42">
        <v>3</v>
      </c>
      <c r="AE42" t="s">
        <v>44</v>
      </c>
      <c r="AF42" t="s">
        <v>74</v>
      </c>
      <c r="AG42" t="s">
        <v>100</v>
      </c>
      <c r="AH42" t="s">
        <v>139</v>
      </c>
      <c r="AI42">
        <v>0</v>
      </c>
      <c r="AJ42">
        <v>48</v>
      </c>
    </row>
    <row r="43" spans="1:36" x14ac:dyDescent="0.4">
      <c r="A43" t="s">
        <v>793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74</v>
      </c>
      <c r="I43" t="s">
        <v>100</v>
      </c>
      <c r="J43" t="s">
        <v>138</v>
      </c>
      <c r="K43" t="s">
        <v>56</v>
      </c>
      <c r="L43">
        <v>3</v>
      </c>
      <c r="N43">
        <v>3</v>
      </c>
      <c r="O43" t="s">
        <v>120</v>
      </c>
      <c r="P43" t="s">
        <v>69</v>
      </c>
      <c r="Q43" t="s">
        <v>87</v>
      </c>
      <c r="R43" t="s">
        <v>88</v>
      </c>
      <c r="S43" t="s">
        <v>48</v>
      </c>
      <c r="T43">
        <v>3</v>
      </c>
      <c r="V43">
        <v>3</v>
      </c>
      <c r="W43" t="s">
        <v>126</v>
      </c>
      <c r="X43" t="s">
        <v>84</v>
      </c>
      <c r="Y43" t="s">
        <v>90</v>
      </c>
      <c r="Z43" t="s">
        <v>128</v>
      </c>
      <c r="AA43" t="s">
        <v>38</v>
      </c>
      <c r="AB43">
        <v>3</v>
      </c>
      <c r="AC43">
        <v>2</v>
      </c>
      <c r="AD43">
        <v>3</v>
      </c>
      <c r="AE43" t="s">
        <v>67</v>
      </c>
      <c r="AF43" t="s">
        <v>96</v>
      </c>
      <c r="AG43" t="s">
        <v>153</v>
      </c>
      <c r="AH43" t="s">
        <v>156</v>
      </c>
      <c r="AI43">
        <v>0</v>
      </c>
      <c r="AJ43">
        <v>36</v>
      </c>
    </row>
    <row r="44" spans="1:36" x14ac:dyDescent="0.4">
      <c r="A44" t="s">
        <v>794</v>
      </c>
      <c r="B44">
        <v>42</v>
      </c>
      <c r="C44" t="s">
        <v>45</v>
      </c>
      <c r="D44">
        <v>3</v>
      </c>
      <c r="F44">
        <v>3</v>
      </c>
      <c r="G44" t="s">
        <v>86</v>
      </c>
      <c r="H44" t="s">
        <v>141</v>
      </c>
      <c r="I44" t="s">
        <v>142</v>
      </c>
      <c r="J44" t="s">
        <v>143</v>
      </c>
      <c r="K44" t="s">
        <v>56</v>
      </c>
      <c r="L44">
        <v>2</v>
      </c>
      <c r="N44">
        <v>3</v>
      </c>
      <c r="O44" t="s">
        <v>120</v>
      </c>
      <c r="P44" t="s">
        <v>69</v>
      </c>
      <c r="Q44" t="s">
        <v>87</v>
      </c>
      <c r="R44" t="s">
        <v>88</v>
      </c>
      <c r="S44" t="s">
        <v>48</v>
      </c>
      <c r="T44">
        <v>1</v>
      </c>
      <c r="V44">
        <v>2</v>
      </c>
      <c r="W44" t="s">
        <v>126</v>
      </c>
      <c r="X44" t="s">
        <v>84</v>
      </c>
      <c r="Y44" t="s">
        <v>51</v>
      </c>
      <c r="Z44" t="s">
        <v>128</v>
      </c>
      <c r="AA44" t="s">
        <v>63</v>
      </c>
      <c r="AB44">
        <v>3</v>
      </c>
      <c r="AD44">
        <v>3</v>
      </c>
      <c r="AE44" t="s">
        <v>72</v>
      </c>
      <c r="AF44" t="s">
        <v>146</v>
      </c>
      <c r="AG44" t="s">
        <v>148</v>
      </c>
      <c r="AH44" t="s">
        <v>150</v>
      </c>
      <c r="AI44">
        <v>0</v>
      </c>
      <c r="AJ44">
        <v>33</v>
      </c>
    </row>
    <row r="45" spans="1:36" x14ac:dyDescent="0.4">
      <c r="A45" t="s">
        <v>795</v>
      </c>
      <c r="B45">
        <v>43</v>
      </c>
      <c r="C45" t="s">
        <v>38</v>
      </c>
      <c r="D45">
        <v>3</v>
      </c>
      <c r="E45">
        <v>3</v>
      </c>
      <c r="F45">
        <v>3</v>
      </c>
      <c r="G45" t="s">
        <v>67</v>
      </c>
      <c r="H45" t="s">
        <v>96</v>
      </c>
      <c r="I45" t="s">
        <v>153</v>
      </c>
      <c r="J45" t="s">
        <v>156</v>
      </c>
      <c r="K45" t="s">
        <v>56</v>
      </c>
      <c r="L45">
        <v>3</v>
      </c>
      <c r="N45">
        <v>3</v>
      </c>
      <c r="O45" t="s">
        <v>120</v>
      </c>
      <c r="P45" t="s">
        <v>69</v>
      </c>
      <c r="Q45" t="s">
        <v>87</v>
      </c>
      <c r="R45" t="s">
        <v>88</v>
      </c>
      <c r="S45" t="s">
        <v>48</v>
      </c>
      <c r="T45">
        <v>3</v>
      </c>
      <c r="V45">
        <v>3</v>
      </c>
      <c r="W45" t="s">
        <v>126</v>
      </c>
      <c r="X45" t="s">
        <v>84</v>
      </c>
      <c r="Y45" t="s">
        <v>90</v>
      </c>
      <c r="Z45" t="s">
        <v>128</v>
      </c>
      <c r="AA45" t="s">
        <v>45</v>
      </c>
      <c r="AB45">
        <v>3</v>
      </c>
      <c r="AD45">
        <v>3</v>
      </c>
      <c r="AE45" t="s">
        <v>47</v>
      </c>
      <c r="AF45" t="s">
        <v>141</v>
      </c>
      <c r="AI45">
        <v>0</v>
      </c>
      <c r="AJ45">
        <v>52</v>
      </c>
    </row>
    <row r="46" spans="1:36" x14ac:dyDescent="0.4">
      <c r="A46" t="s">
        <v>796</v>
      </c>
      <c r="B46">
        <v>44</v>
      </c>
      <c r="C46" t="s">
        <v>56</v>
      </c>
      <c r="D46">
        <v>3</v>
      </c>
      <c r="F46">
        <v>3</v>
      </c>
      <c r="G46" t="s">
        <v>120</v>
      </c>
      <c r="H46" t="s">
        <v>69</v>
      </c>
      <c r="I46" t="s">
        <v>87</v>
      </c>
      <c r="J46" t="s">
        <v>88</v>
      </c>
      <c r="K46" t="s">
        <v>48</v>
      </c>
      <c r="L46">
        <v>3</v>
      </c>
      <c r="N46">
        <v>3</v>
      </c>
      <c r="O46" t="s">
        <v>126</v>
      </c>
      <c r="P46" t="s">
        <v>84</v>
      </c>
      <c r="Q46" t="s">
        <v>127</v>
      </c>
      <c r="R46" t="s">
        <v>52</v>
      </c>
      <c r="S46" t="s">
        <v>63</v>
      </c>
      <c r="T46">
        <v>3</v>
      </c>
      <c r="V46">
        <v>3</v>
      </c>
      <c r="W46" t="s">
        <v>72</v>
      </c>
      <c r="X46" t="s">
        <v>146</v>
      </c>
      <c r="Y46" t="s">
        <v>148</v>
      </c>
      <c r="Z46" t="s">
        <v>150</v>
      </c>
      <c r="AA46" t="s">
        <v>38</v>
      </c>
      <c r="AB46">
        <v>3</v>
      </c>
      <c r="AC46">
        <v>3</v>
      </c>
      <c r="AD46">
        <v>3</v>
      </c>
      <c r="AE46" t="s">
        <v>152</v>
      </c>
      <c r="AF46" t="s">
        <v>40</v>
      </c>
      <c r="AG46" t="s">
        <v>153</v>
      </c>
      <c r="AH46" t="s">
        <v>156</v>
      </c>
      <c r="AI46">
        <v>0</v>
      </c>
      <c r="AJ46">
        <v>64</v>
      </c>
    </row>
    <row r="47" spans="1:36" x14ac:dyDescent="0.4">
      <c r="A47" t="s">
        <v>797</v>
      </c>
      <c r="B47">
        <v>45</v>
      </c>
      <c r="C47" t="s">
        <v>45</v>
      </c>
      <c r="D47">
        <v>3</v>
      </c>
      <c r="F47">
        <v>3</v>
      </c>
      <c r="G47" t="s">
        <v>140</v>
      </c>
      <c r="H47" t="s">
        <v>76</v>
      </c>
      <c r="I47" t="s">
        <v>142</v>
      </c>
      <c r="J47" t="s">
        <v>143</v>
      </c>
      <c r="K47" t="s">
        <v>56</v>
      </c>
      <c r="L47">
        <v>3</v>
      </c>
      <c r="N47">
        <v>3</v>
      </c>
      <c r="O47" t="s">
        <v>120</v>
      </c>
      <c r="P47" t="s">
        <v>69</v>
      </c>
      <c r="Q47" t="s">
        <v>87</v>
      </c>
      <c r="R47" t="s">
        <v>88</v>
      </c>
      <c r="S47" t="s">
        <v>33</v>
      </c>
      <c r="T47">
        <v>1</v>
      </c>
      <c r="V47">
        <v>1</v>
      </c>
      <c r="W47" t="s">
        <v>34</v>
      </c>
      <c r="AA47" t="s">
        <v>43</v>
      </c>
      <c r="AB47">
        <v>1</v>
      </c>
      <c r="AD47">
        <v>2</v>
      </c>
      <c r="AE47" t="s">
        <v>135</v>
      </c>
      <c r="AF47" t="s">
        <v>74</v>
      </c>
      <c r="AG47" t="s">
        <v>100</v>
      </c>
      <c r="AI47">
        <v>0</v>
      </c>
      <c r="AJ47">
        <v>22</v>
      </c>
    </row>
    <row r="48" spans="1:36" x14ac:dyDescent="0.4">
      <c r="A48" t="s">
        <v>798</v>
      </c>
      <c r="B48">
        <v>46</v>
      </c>
      <c r="C48" t="s">
        <v>63</v>
      </c>
      <c r="D48">
        <v>3</v>
      </c>
      <c r="F48">
        <v>3</v>
      </c>
      <c r="G48" t="s">
        <v>72</v>
      </c>
      <c r="H48" t="s">
        <v>146</v>
      </c>
      <c r="I48" t="s">
        <v>148</v>
      </c>
      <c r="J48" t="s">
        <v>150</v>
      </c>
      <c r="K48" t="s">
        <v>56</v>
      </c>
      <c r="L48">
        <v>1</v>
      </c>
      <c r="N48">
        <v>3</v>
      </c>
      <c r="O48" t="s">
        <v>120</v>
      </c>
      <c r="P48" t="s">
        <v>69</v>
      </c>
      <c r="Q48" t="s">
        <v>87</v>
      </c>
      <c r="R48" t="s">
        <v>88</v>
      </c>
      <c r="S48" t="s">
        <v>33</v>
      </c>
      <c r="T48">
        <v>1</v>
      </c>
      <c r="V48">
        <v>3</v>
      </c>
      <c r="W48" t="s">
        <v>34</v>
      </c>
      <c r="AA48" t="s">
        <v>43</v>
      </c>
      <c r="AB48">
        <v>3</v>
      </c>
      <c r="AD48">
        <v>3</v>
      </c>
      <c r="AE48" t="s">
        <v>44</v>
      </c>
      <c r="AF48" t="s">
        <v>136</v>
      </c>
      <c r="AG48" t="s">
        <v>75</v>
      </c>
      <c r="AH48" t="s">
        <v>139</v>
      </c>
      <c r="AI48">
        <v>0</v>
      </c>
      <c r="AJ48">
        <v>29</v>
      </c>
    </row>
    <row r="49" spans="1:36" x14ac:dyDescent="0.4">
      <c r="A49" t="s">
        <v>799</v>
      </c>
      <c r="B49">
        <v>47</v>
      </c>
      <c r="C49" t="s">
        <v>38</v>
      </c>
      <c r="D49">
        <v>3</v>
      </c>
      <c r="E49">
        <v>3</v>
      </c>
      <c r="F49">
        <v>3</v>
      </c>
      <c r="G49" t="s">
        <v>67</v>
      </c>
      <c r="H49" t="s">
        <v>40</v>
      </c>
      <c r="I49" t="s">
        <v>153</v>
      </c>
      <c r="J49" t="s">
        <v>156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88</v>
      </c>
      <c r="S49" t="s">
        <v>33</v>
      </c>
      <c r="T49">
        <v>1</v>
      </c>
      <c r="V49">
        <v>2</v>
      </c>
      <c r="W49" t="s">
        <v>46</v>
      </c>
      <c r="AA49" t="s">
        <v>43</v>
      </c>
      <c r="AB49">
        <v>2</v>
      </c>
      <c r="AD49">
        <v>3</v>
      </c>
      <c r="AE49" t="s">
        <v>44</v>
      </c>
      <c r="AF49" t="s">
        <v>136</v>
      </c>
      <c r="AG49" t="s">
        <v>75</v>
      </c>
      <c r="AH49" t="s">
        <v>138</v>
      </c>
      <c r="AI49">
        <v>0</v>
      </c>
      <c r="AJ49">
        <v>32</v>
      </c>
    </row>
    <row r="50" spans="1:36" x14ac:dyDescent="0.4">
      <c r="A50" t="s">
        <v>800</v>
      </c>
      <c r="B50">
        <v>48</v>
      </c>
      <c r="C50" t="s">
        <v>63</v>
      </c>
      <c r="D50">
        <v>3</v>
      </c>
      <c r="F50">
        <v>3</v>
      </c>
      <c r="G50" t="s">
        <v>145</v>
      </c>
      <c r="H50" t="s">
        <v>146</v>
      </c>
      <c r="I50" t="s">
        <v>148</v>
      </c>
      <c r="J50" t="s">
        <v>150</v>
      </c>
      <c r="K50" t="s">
        <v>56</v>
      </c>
      <c r="L50">
        <v>1</v>
      </c>
      <c r="N50">
        <v>3</v>
      </c>
      <c r="O50" t="s">
        <v>120</v>
      </c>
      <c r="P50" t="s">
        <v>69</v>
      </c>
      <c r="Q50" t="s">
        <v>87</v>
      </c>
      <c r="S50" t="s">
        <v>33</v>
      </c>
      <c r="T50">
        <v>3</v>
      </c>
      <c r="V50">
        <v>3</v>
      </c>
      <c r="W50" t="s">
        <v>34</v>
      </c>
      <c r="X50" t="s">
        <v>35</v>
      </c>
      <c r="Y50" t="s">
        <v>131</v>
      </c>
      <c r="Z50" t="s">
        <v>133</v>
      </c>
      <c r="AA50" t="s">
        <v>45</v>
      </c>
      <c r="AB50">
        <v>3</v>
      </c>
      <c r="AD50">
        <v>3</v>
      </c>
      <c r="AE50" t="s">
        <v>47</v>
      </c>
      <c r="AF50" t="s">
        <v>141</v>
      </c>
      <c r="AG50" t="s">
        <v>142</v>
      </c>
      <c r="AH50" t="s">
        <v>143</v>
      </c>
      <c r="AI50">
        <v>0</v>
      </c>
      <c r="AJ50">
        <v>31</v>
      </c>
    </row>
    <row r="51" spans="1:36" x14ac:dyDescent="0.4">
      <c r="A51" t="s">
        <v>801</v>
      </c>
      <c r="B51">
        <v>49</v>
      </c>
      <c r="C51" t="s">
        <v>56</v>
      </c>
      <c r="D51">
        <v>3</v>
      </c>
      <c r="F51">
        <v>3</v>
      </c>
      <c r="G51" t="s">
        <v>120</v>
      </c>
      <c r="H51" t="s">
        <v>69</v>
      </c>
      <c r="I51" t="s">
        <v>87</v>
      </c>
      <c r="J51" t="s">
        <v>88</v>
      </c>
      <c r="K51" t="s">
        <v>33</v>
      </c>
      <c r="L51">
        <v>1</v>
      </c>
      <c r="N51">
        <v>2</v>
      </c>
      <c r="O51" t="s">
        <v>34</v>
      </c>
      <c r="S51" t="s">
        <v>45</v>
      </c>
      <c r="T51">
        <v>3</v>
      </c>
      <c r="V51">
        <v>3</v>
      </c>
      <c r="W51" t="s">
        <v>140</v>
      </c>
      <c r="X51" t="s">
        <v>76</v>
      </c>
      <c r="Y51" t="s">
        <v>142</v>
      </c>
      <c r="Z51" t="s">
        <v>144</v>
      </c>
      <c r="AA51" t="s">
        <v>38</v>
      </c>
      <c r="AB51">
        <v>3</v>
      </c>
      <c r="AC51">
        <v>3</v>
      </c>
      <c r="AD51">
        <v>3</v>
      </c>
      <c r="AE51" t="s">
        <v>67</v>
      </c>
      <c r="AF51" t="s">
        <v>96</v>
      </c>
      <c r="AG51" t="s">
        <v>153</v>
      </c>
      <c r="AH51" t="s">
        <v>156</v>
      </c>
      <c r="AI51">
        <v>0</v>
      </c>
      <c r="AJ51">
        <v>38</v>
      </c>
    </row>
    <row r="52" spans="1:36" x14ac:dyDescent="0.4">
      <c r="A52" t="s">
        <v>802</v>
      </c>
      <c r="B52">
        <v>50</v>
      </c>
      <c r="C52" t="s">
        <v>38</v>
      </c>
      <c r="D52">
        <v>3</v>
      </c>
      <c r="E52">
        <v>3</v>
      </c>
      <c r="F52">
        <v>3</v>
      </c>
      <c r="G52" t="s">
        <v>152</v>
      </c>
      <c r="H52" t="s">
        <v>40</v>
      </c>
      <c r="I52" t="s">
        <v>153</v>
      </c>
      <c r="J52" t="s">
        <v>156</v>
      </c>
      <c r="K52" t="s">
        <v>56</v>
      </c>
      <c r="L52">
        <v>1</v>
      </c>
      <c r="N52">
        <v>3</v>
      </c>
      <c r="O52" t="s">
        <v>120</v>
      </c>
      <c r="P52" t="s">
        <v>69</v>
      </c>
      <c r="S52" t="s">
        <v>33</v>
      </c>
      <c r="T52">
        <v>2</v>
      </c>
      <c r="V52">
        <v>3</v>
      </c>
      <c r="W52" t="s">
        <v>46</v>
      </c>
      <c r="X52" t="s">
        <v>66</v>
      </c>
      <c r="Y52" t="s">
        <v>131</v>
      </c>
      <c r="Z52" t="s">
        <v>133</v>
      </c>
      <c r="AA52" t="s">
        <v>63</v>
      </c>
      <c r="AB52">
        <v>3</v>
      </c>
      <c r="AD52">
        <v>3</v>
      </c>
      <c r="AE52" t="s">
        <v>72</v>
      </c>
      <c r="AF52" t="s">
        <v>146</v>
      </c>
      <c r="AG52" t="s">
        <v>148</v>
      </c>
      <c r="AH52" t="s">
        <v>150</v>
      </c>
      <c r="AI52">
        <v>0</v>
      </c>
      <c r="AJ52">
        <v>48</v>
      </c>
    </row>
    <row r="53" spans="1:36" x14ac:dyDescent="0.4">
      <c r="A53" t="s">
        <v>803</v>
      </c>
      <c r="B53">
        <v>51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148</v>
      </c>
      <c r="J53" t="s">
        <v>149</v>
      </c>
      <c r="K53" t="s">
        <v>56</v>
      </c>
      <c r="L53">
        <v>3</v>
      </c>
      <c r="N53">
        <v>3</v>
      </c>
      <c r="O53" t="s">
        <v>120</v>
      </c>
      <c r="P53" t="s">
        <v>69</v>
      </c>
      <c r="Q53" t="s">
        <v>87</v>
      </c>
      <c r="R53" t="s">
        <v>88</v>
      </c>
      <c r="S53" t="s">
        <v>43</v>
      </c>
      <c r="T53">
        <v>3</v>
      </c>
      <c r="V53">
        <v>3</v>
      </c>
      <c r="W53" t="s">
        <v>73</v>
      </c>
      <c r="X53" t="s">
        <v>136</v>
      </c>
      <c r="Y53" t="s">
        <v>137</v>
      </c>
      <c r="Z53" t="s">
        <v>139</v>
      </c>
      <c r="AA53" t="s">
        <v>45</v>
      </c>
      <c r="AB53">
        <v>3</v>
      </c>
      <c r="AD53">
        <v>1</v>
      </c>
      <c r="AE53" t="s">
        <v>140</v>
      </c>
      <c r="AI53">
        <v>0</v>
      </c>
      <c r="AJ53">
        <v>33</v>
      </c>
    </row>
    <row r="54" spans="1:36" x14ac:dyDescent="0.4">
      <c r="A54" t="s">
        <v>804</v>
      </c>
      <c r="B54">
        <v>52</v>
      </c>
      <c r="C54" t="s">
        <v>56</v>
      </c>
      <c r="D54">
        <v>3</v>
      </c>
      <c r="F54">
        <v>3</v>
      </c>
      <c r="G54" t="s">
        <v>120</v>
      </c>
      <c r="H54" t="s">
        <v>69</v>
      </c>
      <c r="I54" t="s">
        <v>87</v>
      </c>
      <c r="J54" t="s">
        <v>88</v>
      </c>
      <c r="K54" t="s">
        <v>43</v>
      </c>
      <c r="L54">
        <v>1</v>
      </c>
      <c r="N54">
        <v>2</v>
      </c>
      <c r="O54" t="s">
        <v>73</v>
      </c>
      <c r="P54" t="s">
        <v>136</v>
      </c>
      <c r="Q54" t="s">
        <v>75</v>
      </c>
      <c r="S54" t="s">
        <v>45</v>
      </c>
      <c r="T54">
        <v>3</v>
      </c>
      <c r="V54">
        <v>3</v>
      </c>
      <c r="W54" t="s">
        <v>140</v>
      </c>
      <c r="X54" t="s">
        <v>76</v>
      </c>
      <c r="Y54" t="s">
        <v>142</v>
      </c>
      <c r="Z54" t="s">
        <v>143</v>
      </c>
      <c r="AA54" t="s">
        <v>38</v>
      </c>
      <c r="AB54">
        <v>3</v>
      </c>
      <c r="AC54">
        <v>2</v>
      </c>
      <c r="AD54">
        <v>3</v>
      </c>
      <c r="AE54" t="s">
        <v>152</v>
      </c>
      <c r="AF54" t="s">
        <v>96</v>
      </c>
      <c r="AG54" t="s">
        <v>153</v>
      </c>
      <c r="AH54" t="s">
        <v>156</v>
      </c>
      <c r="AI54">
        <v>0</v>
      </c>
      <c r="AJ54">
        <v>35</v>
      </c>
    </row>
    <row r="55" spans="1:36" x14ac:dyDescent="0.4">
      <c r="A55" t="s">
        <v>805</v>
      </c>
      <c r="B55">
        <v>53</v>
      </c>
      <c r="C55" t="s">
        <v>56</v>
      </c>
      <c r="D55">
        <v>3</v>
      </c>
      <c r="F55">
        <v>3</v>
      </c>
      <c r="G55" t="s">
        <v>120</v>
      </c>
      <c r="H55" t="s">
        <v>69</v>
      </c>
      <c r="I55" t="s">
        <v>87</v>
      </c>
      <c r="J55" t="s">
        <v>88</v>
      </c>
      <c r="K55" t="s">
        <v>43</v>
      </c>
      <c r="L55">
        <v>1</v>
      </c>
      <c r="N55">
        <v>1</v>
      </c>
      <c r="O55" t="s">
        <v>73</v>
      </c>
      <c r="P55" t="s">
        <v>136</v>
      </c>
      <c r="Q55" t="s">
        <v>137</v>
      </c>
      <c r="R55" t="s">
        <v>139</v>
      </c>
      <c r="S55" t="s">
        <v>63</v>
      </c>
      <c r="T55">
        <v>3</v>
      </c>
      <c r="V55">
        <v>3</v>
      </c>
      <c r="W55" t="s">
        <v>145</v>
      </c>
      <c r="X55" t="s">
        <v>146</v>
      </c>
      <c r="Y55" t="s">
        <v>147</v>
      </c>
      <c r="Z55" t="s">
        <v>151</v>
      </c>
      <c r="AA55" t="s">
        <v>38</v>
      </c>
      <c r="AB55">
        <v>3</v>
      </c>
      <c r="AC55">
        <v>1</v>
      </c>
      <c r="AD55">
        <v>2</v>
      </c>
      <c r="AE55" t="s">
        <v>67</v>
      </c>
      <c r="AF55" t="s">
        <v>96</v>
      </c>
      <c r="AG55" t="s">
        <v>153</v>
      </c>
      <c r="AH55" t="s">
        <v>156</v>
      </c>
      <c r="AI55">
        <v>0</v>
      </c>
      <c r="AJ55">
        <v>28</v>
      </c>
    </row>
    <row r="56" spans="1:36" x14ac:dyDescent="0.4">
      <c r="A56" t="s">
        <v>806</v>
      </c>
      <c r="B56">
        <v>54</v>
      </c>
      <c r="C56" t="s">
        <v>63</v>
      </c>
      <c r="D56">
        <v>3</v>
      </c>
      <c r="F56">
        <v>3</v>
      </c>
      <c r="G56" t="s">
        <v>103</v>
      </c>
      <c r="H56" t="s">
        <v>146</v>
      </c>
      <c r="I56" t="s">
        <v>148</v>
      </c>
      <c r="J56" t="s">
        <v>150</v>
      </c>
      <c r="K56" t="s">
        <v>56</v>
      </c>
      <c r="L56">
        <v>3</v>
      </c>
      <c r="N56">
        <v>3</v>
      </c>
      <c r="O56" t="s">
        <v>120</v>
      </c>
      <c r="P56" t="s">
        <v>69</v>
      </c>
      <c r="Q56" t="s">
        <v>87</v>
      </c>
      <c r="R56" t="s">
        <v>88</v>
      </c>
      <c r="S56" t="s">
        <v>45</v>
      </c>
      <c r="T56">
        <v>3</v>
      </c>
      <c r="V56">
        <v>2</v>
      </c>
      <c r="W56" t="s">
        <v>86</v>
      </c>
      <c r="X56" t="s">
        <v>141</v>
      </c>
      <c r="Y56" t="s">
        <v>93</v>
      </c>
      <c r="AA56" t="s">
        <v>38</v>
      </c>
      <c r="AB56">
        <v>1</v>
      </c>
      <c r="AC56">
        <v>3</v>
      </c>
      <c r="AD56">
        <v>2</v>
      </c>
      <c r="AE56" t="s">
        <v>67</v>
      </c>
      <c r="AF56" t="s">
        <v>96</v>
      </c>
      <c r="AG56" t="s">
        <v>153</v>
      </c>
      <c r="AH56" t="s">
        <v>156</v>
      </c>
      <c r="AI56">
        <v>0</v>
      </c>
      <c r="AJ56">
        <v>31</v>
      </c>
    </row>
    <row r="57" spans="1:36" x14ac:dyDescent="0.4">
      <c r="A57" t="s">
        <v>807</v>
      </c>
      <c r="B57">
        <v>55</v>
      </c>
      <c r="C57" t="s">
        <v>33</v>
      </c>
      <c r="D57">
        <v>2</v>
      </c>
      <c r="F57">
        <v>3</v>
      </c>
      <c r="G57" t="s">
        <v>34</v>
      </c>
      <c r="H57" t="s">
        <v>130</v>
      </c>
      <c r="I57" t="s">
        <v>132</v>
      </c>
      <c r="J57" t="s">
        <v>37</v>
      </c>
      <c r="K57" t="s">
        <v>48</v>
      </c>
      <c r="L57">
        <v>1</v>
      </c>
      <c r="N57">
        <v>3</v>
      </c>
      <c r="O57" t="s">
        <v>126</v>
      </c>
      <c r="S57" t="s">
        <v>43</v>
      </c>
      <c r="T57">
        <v>1</v>
      </c>
      <c r="V57">
        <v>3</v>
      </c>
      <c r="W57" t="s">
        <v>44</v>
      </c>
      <c r="X57" t="s">
        <v>74</v>
      </c>
      <c r="Y57" t="s">
        <v>100</v>
      </c>
      <c r="Z57" t="s">
        <v>139</v>
      </c>
      <c r="AA57" t="s">
        <v>45</v>
      </c>
      <c r="AB57">
        <v>3</v>
      </c>
      <c r="AD57">
        <v>3</v>
      </c>
      <c r="AE57" t="s">
        <v>47</v>
      </c>
      <c r="AF57" t="s">
        <v>141</v>
      </c>
      <c r="AG57" t="s">
        <v>142</v>
      </c>
      <c r="AH57" t="s">
        <v>144</v>
      </c>
      <c r="AI57">
        <v>0</v>
      </c>
      <c r="AJ57">
        <v>25</v>
      </c>
    </row>
    <row r="58" spans="1:36" x14ac:dyDescent="0.4">
      <c r="A58" t="s">
        <v>808</v>
      </c>
      <c r="B58">
        <v>56</v>
      </c>
      <c r="C58" t="s">
        <v>43</v>
      </c>
      <c r="D58">
        <v>3</v>
      </c>
      <c r="F58">
        <v>3</v>
      </c>
      <c r="G58" t="s">
        <v>44</v>
      </c>
      <c r="H58" t="s">
        <v>74</v>
      </c>
      <c r="I58" t="s">
        <v>137</v>
      </c>
      <c r="J58" t="s">
        <v>139</v>
      </c>
      <c r="K58" t="s">
        <v>48</v>
      </c>
      <c r="L58">
        <v>1</v>
      </c>
      <c r="N58">
        <v>3</v>
      </c>
      <c r="O58" t="s">
        <v>126</v>
      </c>
      <c r="P58" t="s">
        <v>71</v>
      </c>
      <c r="S58" t="s">
        <v>33</v>
      </c>
      <c r="T58">
        <v>1</v>
      </c>
      <c r="V58">
        <v>2</v>
      </c>
      <c r="W58" t="s">
        <v>34</v>
      </c>
      <c r="X58" t="s">
        <v>130</v>
      </c>
      <c r="AA58" t="s">
        <v>63</v>
      </c>
      <c r="AB58">
        <v>3</v>
      </c>
      <c r="AD58">
        <v>3</v>
      </c>
      <c r="AE58" t="s">
        <v>72</v>
      </c>
      <c r="AF58" t="s">
        <v>146</v>
      </c>
      <c r="AG58" t="s">
        <v>148</v>
      </c>
      <c r="AH58" t="s">
        <v>150</v>
      </c>
      <c r="AI58">
        <v>0</v>
      </c>
      <c r="AJ58">
        <v>39</v>
      </c>
    </row>
    <row r="59" spans="1:36" x14ac:dyDescent="0.4">
      <c r="A59" t="s">
        <v>809</v>
      </c>
      <c r="B59">
        <v>57</v>
      </c>
      <c r="C59" t="s">
        <v>33</v>
      </c>
      <c r="D59">
        <v>2</v>
      </c>
      <c r="F59">
        <v>3</v>
      </c>
      <c r="G59" t="s">
        <v>34</v>
      </c>
      <c r="H59" t="s">
        <v>130</v>
      </c>
      <c r="I59" t="s">
        <v>132</v>
      </c>
      <c r="J59" t="s">
        <v>133</v>
      </c>
      <c r="K59" t="s">
        <v>48</v>
      </c>
      <c r="L59">
        <v>2</v>
      </c>
      <c r="N59">
        <v>3</v>
      </c>
      <c r="O59" t="s">
        <v>126</v>
      </c>
      <c r="P59" t="s">
        <v>71</v>
      </c>
      <c r="Q59" t="s">
        <v>127</v>
      </c>
      <c r="S59" t="s">
        <v>43</v>
      </c>
      <c r="T59">
        <v>1</v>
      </c>
      <c r="V59">
        <v>1</v>
      </c>
      <c r="W59" t="s">
        <v>44</v>
      </c>
      <c r="X59" t="s">
        <v>74</v>
      </c>
      <c r="Y59" t="s">
        <v>100</v>
      </c>
      <c r="Z59" t="s">
        <v>138</v>
      </c>
      <c r="AA59" t="s">
        <v>38</v>
      </c>
      <c r="AB59">
        <v>1</v>
      </c>
      <c r="AC59">
        <v>1</v>
      </c>
      <c r="AD59">
        <v>1</v>
      </c>
      <c r="AE59" t="s">
        <v>67</v>
      </c>
      <c r="AF59" t="s">
        <v>96</v>
      </c>
      <c r="AG59" t="s">
        <v>153</v>
      </c>
      <c r="AI59">
        <v>0</v>
      </c>
      <c r="AJ59">
        <v>23</v>
      </c>
    </row>
    <row r="60" spans="1:36" x14ac:dyDescent="0.4">
      <c r="A60" t="s">
        <v>810</v>
      </c>
      <c r="B60">
        <v>58</v>
      </c>
      <c r="C60" t="s">
        <v>33</v>
      </c>
      <c r="D60">
        <v>3</v>
      </c>
      <c r="F60">
        <v>3</v>
      </c>
      <c r="G60" t="s">
        <v>34</v>
      </c>
      <c r="H60" t="s">
        <v>130</v>
      </c>
      <c r="I60" t="s">
        <v>132</v>
      </c>
      <c r="J60" t="s">
        <v>133</v>
      </c>
      <c r="K60" t="s">
        <v>48</v>
      </c>
      <c r="L60">
        <v>3</v>
      </c>
      <c r="N60">
        <v>2</v>
      </c>
      <c r="O60" t="s">
        <v>126</v>
      </c>
      <c r="P60" t="s">
        <v>84</v>
      </c>
      <c r="Q60" t="s">
        <v>127</v>
      </c>
      <c r="S60" t="s">
        <v>45</v>
      </c>
      <c r="T60">
        <v>3</v>
      </c>
      <c r="V60">
        <v>3</v>
      </c>
      <c r="W60" t="s">
        <v>86</v>
      </c>
      <c r="X60" t="s">
        <v>141</v>
      </c>
      <c r="Y60" t="s">
        <v>142</v>
      </c>
      <c r="Z60" t="s">
        <v>144</v>
      </c>
      <c r="AA60" t="s">
        <v>63</v>
      </c>
      <c r="AB60">
        <v>1</v>
      </c>
      <c r="AD60">
        <v>1</v>
      </c>
      <c r="AE60" t="s">
        <v>72</v>
      </c>
      <c r="AF60" t="s">
        <v>146</v>
      </c>
      <c r="AG60" t="s">
        <v>148</v>
      </c>
      <c r="AH60" t="s">
        <v>150</v>
      </c>
      <c r="AI60">
        <v>0</v>
      </c>
      <c r="AJ60">
        <v>28</v>
      </c>
    </row>
    <row r="61" spans="1:36" x14ac:dyDescent="0.4">
      <c r="A61" t="s">
        <v>811</v>
      </c>
      <c r="B61">
        <v>59</v>
      </c>
      <c r="C61" t="s">
        <v>33</v>
      </c>
      <c r="D61">
        <v>3</v>
      </c>
      <c r="F61">
        <v>3</v>
      </c>
      <c r="G61" t="s">
        <v>34</v>
      </c>
      <c r="H61" t="s">
        <v>130</v>
      </c>
      <c r="I61" t="s">
        <v>131</v>
      </c>
      <c r="J61" t="s">
        <v>133</v>
      </c>
      <c r="K61" t="s">
        <v>48</v>
      </c>
      <c r="L61">
        <v>1</v>
      </c>
      <c r="N61">
        <v>3</v>
      </c>
      <c r="O61" t="s">
        <v>126</v>
      </c>
      <c r="P61" t="s">
        <v>84</v>
      </c>
      <c r="S61" t="s">
        <v>45</v>
      </c>
      <c r="T61">
        <v>3</v>
      </c>
      <c r="V61">
        <v>3</v>
      </c>
      <c r="W61" t="s">
        <v>47</v>
      </c>
      <c r="X61" t="s">
        <v>76</v>
      </c>
      <c r="Y61" t="s">
        <v>142</v>
      </c>
      <c r="Z61" t="s">
        <v>144</v>
      </c>
      <c r="AA61" t="s">
        <v>38</v>
      </c>
      <c r="AB61">
        <v>3</v>
      </c>
      <c r="AC61">
        <v>3</v>
      </c>
      <c r="AD61">
        <v>3</v>
      </c>
      <c r="AE61" t="s">
        <v>67</v>
      </c>
      <c r="AF61" t="s">
        <v>96</v>
      </c>
      <c r="AG61" t="s">
        <v>153</v>
      </c>
      <c r="AH61" t="s">
        <v>156</v>
      </c>
      <c r="AI61">
        <v>0</v>
      </c>
      <c r="AJ61">
        <v>32</v>
      </c>
    </row>
    <row r="62" spans="1:36" x14ac:dyDescent="0.4">
      <c r="A62" t="s">
        <v>812</v>
      </c>
      <c r="B62">
        <v>60</v>
      </c>
      <c r="C62" t="s">
        <v>33</v>
      </c>
      <c r="D62">
        <v>3</v>
      </c>
      <c r="F62">
        <v>3</v>
      </c>
      <c r="G62" t="s">
        <v>34</v>
      </c>
      <c r="H62" t="s">
        <v>130</v>
      </c>
      <c r="I62" t="s">
        <v>36</v>
      </c>
      <c r="J62" t="s">
        <v>37</v>
      </c>
      <c r="K62" t="s">
        <v>48</v>
      </c>
      <c r="L62">
        <v>2</v>
      </c>
      <c r="N62">
        <v>2</v>
      </c>
      <c r="O62" t="s">
        <v>126</v>
      </c>
      <c r="P62" t="s">
        <v>71</v>
      </c>
      <c r="Q62" t="s">
        <v>127</v>
      </c>
      <c r="R62" t="s">
        <v>52</v>
      </c>
      <c r="S62" t="s">
        <v>63</v>
      </c>
      <c r="T62">
        <v>3</v>
      </c>
      <c r="V62">
        <v>3</v>
      </c>
      <c r="W62" t="s">
        <v>72</v>
      </c>
      <c r="X62" t="s">
        <v>146</v>
      </c>
      <c r="Y62" t="s">
        <v>148</v>
      </c>
      <c r="Z62" t="s">
        <v>150</v>
      </c>
      <c r="AA62" t="s">
        <v>38</v>
      </c>
      <c r="AB62">
        <v>1</v>
      </c>
      <c r="AC62">
        <v>1</v>
      </c>
      <c r="AD62">
        <v>1</v>
      </c>
      <c r="AE62" t="s">
        <v>67</v>
      </c>
      <c r="AF62" t="s">
        <v>96</v>
      </c>
      <c r="AG62" t="s">
        <v>153</v>
      </c>
      <c r="AI62">
        <v>0</v>
      </c>
      <c r="AJ62">
        <v>30</v>
      </c>
    </row>
    <row r="63" spans="1:36" x14ac:dyDescent="0.4">
      <c r="A63" t="s">
        <v>813</v>
      </c>
      <c r="B63">
        <v>61</v>
      </c>
      <c r="C63" t="s">
        <v>43</v>
      </c>
      <c r="D63">
        <v>1</v>
      </c>
      <c r="F63">
        <v>2</v>
      </c>
      <c r="G63" t="s">
        <v>44</v>
      </c>
      <c r="H63" t="s">
        <v>136</v>
      </c>
      <c r="I63" t="s">
        <v>137</v>
      </c>
      <c r="J63" t="s">
        <v>138</v>
      </c>
      <c r="K63" t="s">
        <v>48</v>
      </c>
      <c r="L63">
        <v>2</v>
      </c>
      <c r="N63">
        <v>1</v>
      </c>
      <c r="O63" t="s">
        <v>126</v>
      </c>
      <c r="P63" t="s">
        <v>71</v>
      </c>
      <c r="Q63" t="s">
        <v>90</v>
      </c>
      <c r="R63" t="s">
        <v>128</v>
      </c>
      <c r="S63" t="s">
        <v>45</v>
      </c>
      <c r="T63">
        <v>3</v>
      </c>
      <c r="V63">
        <v>1</v>
      </c>
      <c r="W63" t="s">
        <v>47</v>
      </c>
      <c r="X63" t="s">
        <v>141</v>
      </c>
      <c r="Y63" t="s">
        <v>102</v>
      </c>
      <c r="Z63" t="s">
        <v>143</v>
      </c>
      <c r="AA63" t="s">
        <v>63</v>
      </c>
      <c r="AB63">
        <v>1</v>
      </c>
      <c r="AD63">
        <v>1</v>
      </c>
      <c r="AE63" t="s">
        <v>72</v>
      </c>
      <c r="AF63" t="s">
        <v>146</v>
      </c>
      <c r="AI63">
        <v>0</v>
      </c>
      <c r="AJ63">
        <v>20</v>
      </c>
    </row>
    <row r="64" spans="1:36" x14ac:dyDescent="0.4">
      <c r="A64" t="s">
        <v>814</v>
      </c>
      <c r="B64">
        <v>62</v>
      </c>
      <c r="C64" t="s">
        <v>43</v>
      </c>
      <c r="D64">
        <v>3</v>
      </c>
      <c r="F64">
        <v>3</v>
      </c>
      <c r="G64" t="s">
        <v>44</v>
      </c>
      <c r="H64" t="s">
        <v>74</v>
      </c>
      <c r="I64" t="s">
        <v>100</v>
      </c>
      <c r="J64" t="s">
        <v>138</v>
      </c>
      <c r="K64" t="s">
        <v>48</v>
      </c>
      <c r="L64">
        <v>1</v>
      </c>
      <c r="N64">
        <v>2</v>
      </c>
      <c r="O64" t="s">
        <v>126</v>
      </c>
      <c r="P64" t="s">
        <v>84</v>
      </c>
      <c r="Q64" t="s">
        <v>90</v>
      </c>
      <c r="R64" t="s">
        <v>128</v>
      </c>
      <c r="S64" t="s">
        <v>45</v>
      </c>
      <c r="T64">
        <v>3</v>
      </c>
      <c r="V64">
        <v>3</v>
      </c>
      <c r="W64" t="s">
        <v>86</v>
      </c>
      <c r="X64" t="s">
        <v>92</v>
      </c>
      <c r="Y64" t="s">
        <v>142</v>
      </c>
      <c r="Z64" t="s">
        <v>143</v>
      </c>
      <c r="AA64" t="s">
        <v>38</v>
      </c>
      <c r="AB64">
        <v>3</v>
      </c>
      <c r="AC64">
        <v>3</v>
      </c>
      <c r="AD64">
        <v>3</v>
      </c>
      <c r="AE64" t="s">
        <v>67</v>
      </c>
      <c r="AF64" t="s">
        <v>96</v>
      </c>
      <c r="AG64" t="s">
        <v>153</v>
      </c>
      <c r="AH64" t="s">
        <v>156</v>
      </c>
      <c r="AI64">
        <v>0</v>
      </c>
      <c r="AJ64">
        <v>34</v>
      </c>
    </row>
    <row r="65" spans="1:36" x14ac:dyDescent="0.4">
      <c r="A65" t="s">
        <v>815</v>
      </c>
      <c r="B65">
        <v>63</v>
      </c>
      <c r="C65" t="s">
        <v>63</v>
      </c>
      <c r="D65">
        <v>3</v>
      </c>
      <c r="F65">
        <v>3</v>
      </c>
      <c r="G65" t="s">
        <v>72</v>
      </c>
      <c r="H65" t="s">
        <v>146</v>
      </c>
      <c r="I65" t="s">
        <v>148</v>
      </c>
      <c r="J65" t="s">
        <v>150</v>
      </c>
      <c r="K65" t="s">
        <v>48</v>
      </c>
      <c r="L65">
        <v>3</v>
      </c>
      <c r="N65">
        <v>3</v>
      </c>
      <c r="O65" t="s">
        <v>126</v>
      </c>
      <c r="P65" t="s">
        <v>71</v>
      </c>
      <c r="Q65" t="s">
        <v>127</v>
      </c>
      <c r="R65" t="s">
        <v>128</v>
      </c>
      <c r="S65" t="s">
        <v>43</v>
      </c>
      <c r="T65">
        <v>2</v>
      </c>
      <c r="V65">
        <v>3</v>
      </c>
      <c r="W65" t="s">
        <v>44</v>
      </c>
      <c r="X65" t="s">
        <v>136</v>
      </c>
      <c r="Y65" t="s">
        <v>137</v>
      </c>
      <c r="Z65" t="s">
        <v>138</v>
      </c>
      <c r="AA65" t="s">
        <v>38</v>
      </c>
      <c r="AB65">
        <v>3</v>
      </c>
      <c r="AC65">
        <v>3</v>
      </c>
      <c r="AD65">
        <v>3</v>
      </c>
      <c r="AE65" t="s">
        <v>67</v>
      </c>
      <c r="AF65" t="s">
        <v>40</v>
      </c>
      <c r="AG65" t="s">
        <v>153</v>
      </c>
      <c r="AH65" t="s">
        <v>156</v>
      </c>
      <c r="AI65">
        <v>0</v>
      </c>
      <c r="AJ65">
        <v>79</v>
      </c>
    </row>
    <row r="66" spans="1:36" x14ac:dyDescent="0.4">
      <c r="A66" t="s">
        <v>816</v>
      </c>
      <c r="B66">
        <v>64</v>
      </c>
      <c r="C66" t="s">
        <v>38</v>
      </c>
      <c r="D66">
        <v>3</v>
      </c>
      <c r="E66">
        <v>3</v>
      </c>
      <c r="F66">
        <v>3</v>
      </c>
      <c r="G66" t="s">
        <v>67</v>
      </c>
      <c r="H66" t="s">
        <v>96</v>
      </c>
      <c r="I66" t="s">
        <v>153</v>
      </c>
      <c r="J66" t="s">
        <v>156</v>
      </c>
      <c r="K66" t="s">
        <v>48</v>
      </c>
      <c r="L66">
        <v>3</v>
      </c>
      <c r="N66">
        <v>3</v>
      </c>
      <c r="O66" t="s">
        <v>126</v>
      </c>
      <c r="P66" t="s">
        <v>71</v>
      </c>
      <c r="Q66" t="s">
        <v>90</v>
      </c>
      <c r="R66" t="s">
        <v>52</v>
      </c>
      <c r="S66" t="s">
        <v>45</v>
      </c>
      <c r="T66">
        <v>3</v>
      </c>
      <c r="V66">
        <v>3</v>
      </c>
      <c r="W66" t="s">
        <v>86</v>
      </c>
      <c r="X66" t="s">
        <v>141</v>
      </c>
      <c r="Y66" t="s">
        <v>142</v>
      </c>
      <c r="Z66" t="s">
        <v>143</v>
      </c>
      <c r="AA66" t="s">
        <v>63</v>
      </c>
      <c r="AB66">
        <v>3</v>
      </c>
      <c r="AD66">
        <v>3</v>
      </c>
      <c r="AE66" t="s">
        <v>72</v>
      </c>
      <c r="AF66" t="s">
        <v>146</v>
      </c>
      <c r="AG66" t="s">
        <v>148</v>
      </c>
      <c r="AH66" t="s">
        <v>150</v>
      </c>
      <c r="AI66">
        <v>0</v>
      </c>
      <c r="AJ66">
        <v>79</v>
      </c>
    </row>
    <row r="67" spans="1:36" x14ac:dyDescent="0.4">
      <c r="A67" t="s">
        <v>817</v>
      </c>
      <c r="B67">
        <v>65</v>
      </c>
      <c r="C67" t="s">
        <v>33</v>
      </c>
      <c r="D67">
        <v>2</v>
      </c>
      <c r="F67">
        <v>2</v>
      </c>
      <c r="G67" t="s">
        <v>34</v>
      </c>
      <c r="H67" t="s">
        <v>66</v>
      </c>
      <c r="I67" t="s">
        <v>131</v>
      </c>
      <c r="K67" t="s">
        <v>43</v>
      </c>
      <c r="L67">
        <v>1</v>
      </c>
      <c r="N67">
        <v>1</v>
      </c>
      <c r="O67" t="s">
        <v>135</v>
      </c>
      <c r="P67" t="s">
        <v>136</v>
      </c>
      <c r="Q67" t="s">
        <v>137</v>
      </c>
      <c r="S67" t="s">
        <v>45</v>
      </c>
      <c r="T67">
        <v>3</v>
      </c>
      <c r="V67">
        <v>1</v>
      </c>
      <c r="W67" t="s">
        <v>140</v>
      </c>
      <c r="X67" t="s">
        <v>141</v>
      </c>
      <c r="AA67" t="s">
        <v>63</v>
      </c>
      <c r="AB67">
        <v>1</v>
      </c>
      <c r="AD67">
        <v>1</v>
      </c>
      <c r="AE67" t="s">
        <v>145</v>
      </c>
      <c r="AF67" t="s">
        <v>146</v>
      </c>
      <c r="AI67">
        <v>0</v>
      </c>
      <c r="AJ67">
        <v>15</v>
      </c>
    </row>
    <row r="68" spans="1:36" x14ac:dyDescent="0.4">
      <c r="A68" t="s">
        <v>818</v>
      </c>
      <c r="B68">
        <v>66</v>
      </c>
      <c r="C68" t="s">
        <v>43</v>
      </c>
      <c r="D68">
        <v>3</v>
      </c>
      <c r="F68">
        <v>3</v>
      </c>
      <c r="G68" t="s">
        <v>135</v>
      </c>
      <c r="H68" t="s">
        <v>74</v>
      </c>
      <c r="I68" t="s">
        <v>75</v>
      </c>
      <c r="J68" t="s">
        <v>139</v>
      </c>
      <c r="K68" t="s">
        <v>33</v>
      </c>
      <c r="L68">
        <v>2</v>
      </c>
      <c r="N68">
        <v>1</v>
      </c>
      <c r="O68" t="s">
        <v>34</v>
      </c>
      <c r="S68" t="s">
        <v>45</v>
      </c>
      <c r="T68">
        <v>3</v>
      </c>
      <c r="V68">
        <v>2</v>
      </c>
      <c r="W68" t="s">
        <v>140</v>
      </c>
      <c r="X68" t="s">
        <v>76</v>
      </c>
      <c r="AA68" t="s">
        <v>38</v>
      </c>
      <c r="AB68">
        <v>3</v>
      </c>
      <c r="AC68">
        <v>2</v>
      </c>
      <c r="AD68">
        <v>3</v>
      </c>
      <c r="AE68" t="s">
        <v>67</v>
      </c>
      <c r="AF68" t="s">
        <v>96</v>
      </c>
      <c r="AG68" t="s">
        <v>153</v>
      </c>
      <c r="AH68" t="s">
        <v>156</v>
      </c>
      <c r="AI68">
        <v>0</v>
      </c>
      <c r="AJ68">
        <v>25</v>
      </c>
    </row>
    <row r="69" spans="1:36" x14ac:dyDescent="0.4">
      <c r="A69" t="s">
        <v>819</v>
      </c>
      <c r="B69">
        <v>67</v>
      </c>
      <c r="C69" t="s">
        <v>33</v>
      </c>
      <c r="D69">
        <v>3</v>
      </c>
      <c r="F69">
        <v>3</v>
      </c>
      <c r="G69" t="s">
        <v>34</v>
      </c>
      <c r="H69" t="s">
        <v>130</v>
      </c>
      <c r="I69" t="s">
        <v>132</v>
      </c>
      <c r="J69" t="s">
        <v>134</v>
      </c>
      <c r="K69" t="s">
        <v>43</v>
      </c>
      <c r="L69">
        <v>2</v>
      </c>
      <c r="N69">
        <v>3</v>
      </c>
      <c r="O69" t="s">
        <v>44</v>
      </c>
      <c r="P69" t="s">
        <v>136</v>
      </c>
      <c r="Q69" t="s">
        <v>137</v>
      </c>
      <c r="S69" t="s">
        <v>63</v>
      </c>
      <c r="T69">
        <v>3</v>
      </c>
      <c r="V69">
        <v>2</v>
      </c>
      <c r="W69" t="s">
        <v>145</v>
      </c>
      <c r="X69" t="s">
        <v>146</v>
      </c>
      <c r="Y69" t="s">
        <v>104</v>
      </c>
      <c r="Z69" t="s">
        <v>150</v>
      </c>
      <c r="AA69" t="s">
        <v>38</v>
      </c>
      <c r="AB69">
        <v>1</v>
      </c>
      <c r="AC69">
        <v>1</v>
      </c>
      <c r="AD69">
        <v>2</v>
      </c>
      <c r="AE69" t="s">
        <v>67</v>
      </c>
      <c r="AF69" t="s">
        <v>40</v>
      </c>
      <c r="AG69" t="s">
        <v>153</v>
      </c>
      <c r="AI69">
        <v>0</v>
      </c>
      <c r="AJ69">
        <v>26</v>
      </c>
    </row>
    <row r="70" spans="1:36" x14ac:dyDescent="0.4">
      <c r="A70" t="s">
        <v>820</v>
      </c>
      <c r="B70">
        <v>68</v>
      </c>
      <c r="C70" t="s">
        <v>33</v>
      </c>
      <c r="D70">
        <v>3</v>
      </c>
      <c r="F70">
        <v>3</v>
      </c>
      <c r="G70" t="s">
        <v>34</v>
      </c>
      <c r="H70" t="s">
        <v>66</v>
      </c>
      <c r="I70" t="s">
        <v>131</v>
      </c>
      <c r="J70" t="s">
        <v>133</v>
      </c>
      <c r="K70" t="s">
        <v>45</v>
      </c>
      <c r="L70">
        <v>3</v>
      </c>
      <c r="N70">
        <v>1</v>
      </c>
      <c r="O70" t="s">
        <v>86</v>
      </c>
      <c r="S70" t="s">
        <v>63</v>
      </c>
      <c r="T70">
        <v>3</v>
      </c>
      <c r="V70">
        <v>3</v>
      </c>
      <c r="W70" t="s">
        <v>145</v>
      </c>
      <c r="X70" t="s">
        <v>146</v>
      </c>
      <c r="Y70" t="s">
        <v>104</v>
      </c>
      <c r="Z70" t="s">
        <v>150</v>
      </c>
      <c r="AA70" t="s">
        <v>38</v>
      </c>
      <c r="AB70">
        <v>2</v>
      </c>
      <c r="AC70">
        <v>3</v>
      </c>
      <c r="AD70">
        <v>3</v>
      </c>
      <c r="AE70" t="s">
        <v>67</v>
      </c>
      <c r="AF70" t="s">
        <v>96</v>
      </c>
      <c r="AG70" t="s">
        <v>153</v>
      </c>
      <c r="AH70" t="s">
        <v>156</v>
      </c>
      <c r="AI70">
        <v>0</v>
      </c>
      <c r="AJ70">
        <v>37</v>
      </c>
    </row>
    <row r="71" spans="1:36" x14ac:dyDescent="0.4">
      <c r="A71" t="s">
        <v>821</v>
      </c>
      <c r="B71">
        <v>69</v>
      </c>
      <c r="C71" t="s">
        <v>38</v>
      </c>
      <c r="D71">
        <v>3</v>
      </c>
      <c r="E71">
        <v>1</v>
      </c>
      <c r="F71">
        <v>3</v>
      </c>
      <c r="G71" t="s">
        <v>67</v>
      </c>
      <c r="H71" t="s">
        <v>96</v>
      </c>
      <c r="I71" t="s">
        <v>153</v>
      </c>
      <c r="J71" t="s">
        <v>156</v>
      </c>
      <c r="K71" t="s">
        <v>43</v>
      </c>
      <c r="L71">
        <v>3</v>
      </c>
      <c r="N71">
        <v>3</v>
      </c>
      <c r="O71" t="s">
        <v>73</v>
      </c>
      <c r="P71" t="s">
        <v>74</v>
      </c>
      <c r="Q71" t="s">
        <v>100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76</v>
      </c>
      <c r="Y71" t="s">
        <v>142</v>
      </c>
      <c r="Z71" t="s">
        <v>143</v>
      </c>
      <c r="AA71" t="s">
        <v>63</v>
      </c>
      <c r="AB71">
        <v>1</v>
      </c>
      <c r="AD71">
        <v>3</v>
      </c>
      <c r="AE71" t="s">
        <v>145</v>
      </c>
      <c r="AF71" t="s">
        <v>146</v>
      </c>
      <c r="AG71" t="s">
        <v>148</v>
      </c>
      <c r="AI71">
        <v>0</v>
      </c>
      <c r="AJ71">
        <v>30</v>
      </c>
    </row>
  </sheetData>
  <phoneticPr fontId="3" type="noConversion"/>
  <conditionalFormatting sqref="B1:B1048576">
    <cfRule type="duplicateValues" dxfId="35" priority="1"/>
  </conditionalFormatting>
  <conditionalFormatting sqref="A2:B71">
    <cfRule type="duplicateValues" dxfId="34" priority="7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2022-08-14T15:33:01Z</dcterms:modified>
</cp:coreProperties>
</file>