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C0A8748-A5A3-41E8-A1AF-7452E38DFED4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O73" i="17" s="1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O73" i="16" l="1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C20" i="22" s="1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C8" i="22" s="1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N18" i="21" s="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O4" i="21" s="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O5" i="20" s="1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O14" i="19" s="1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C14" i="18" s="1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O39" i="16" s="1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14" i="22" l="1"/>
  <c r="C5" i="19"/>
  <c r="C4" i="20"/>
  <c r="C18" i="20"/>
  <c r="C3" i="21"/>
  <c r="C15" i="21"/>
  <c r="B20" i="22"/>
  <c r="E20" i="22" s="1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E14" i="22" s="1"/>
  <c r="B4" i="20"/>
  <c r="B15" i="17"/>
  <c r="B5" i="19"/>
  <c r="E5" i="19" s="1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K24" i="12" l="1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K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K5" i="3" s="1"/>
  <c r="V6" i="17"/>
  <c r="V9" i="18"/>
  <c r="K4" i="3" s="1"/>
  <c r="V6" i="18"/>
  <c r="V9" i="19"/>
  <c r="K6" i="3" s="1"/>
  <c r="V6" i="19"/>
  <c r="V4" i="19"/>
  <c r="V8" i="20"/>
  <c r="V4" i="20"/>
  <c r="V5" i="21"/>
  <c r="X10" i="22"/>
  <c r="V5" i="20"/>
  <c r="V9" i="21"/>
  <c r="K8" i="3" s="1"/>
  <c r="V6" i="21"/>
  <c r="V7" i="21"/>
  <c r="V4" i="21"/>
  <c r="X4" i="22"/>
  <c r="X11" i="22"/>
  <c r="K9" i="3" s="1"/>
  <c r="X8" i="22"/>
  <c r="X9" i="4"/>
  <c r="D8" i="4"/>
  <c r="X11" i="4"/>
  <c r="K2" i="3" s="1"/>
  <c r="X8" i="4"/>
  <c r="V5" i="16"/>
  <c r="V7" i="17"/>
  <c r="V3" i="17"/>
  <c r="V2" i="18"/>
  <c r="V8" i="19"/>
  <c r="V9" i="20"/>
  <c r="K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<sst xmlns="http://schemas.openxmlformats.org/spreadsheetml/2006/main" count="10376" uniqueCount="554">
  <si>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</si>
  <si>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</si>
  <si>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</si>
  <si>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</si>
  <si>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</si>
  <si>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</si>
  <si>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</si>
  <si>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</si>
  <si>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</si>
  <si>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</si>
  <si>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</si>
  <si>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</si>
  <si>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</si>
  <si>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</si>
  <si>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</si>
  <si>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</si>
  <si>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</si>
  <si>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</si>
  <si>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</si>
  <si>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</si>
  <si>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</si>
  <si>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</si>
  <si>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</si>
  <si>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</si>
  <si>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</si>
  <si>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</si>
  <si>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</si>
  <si>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</si>
  <si>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</si>
  <si>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</si>
  <si>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</si>
  <si>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</si>
  <si>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</si>
  <si>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</si>
  <si>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</si>
  <si>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</si>
  <si>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</si>
  <si>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</si>
  <si>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</si>
  <si>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</si>
  <si>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</si>
  <si>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</si>
  <si>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</si>
  <si>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</si>
  <si>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</si>
  <si>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</si>
  <si>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</si>
  <si>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</si>
  <si>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</si>
  <si>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</si>
  <si>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</si>
  <si>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</si>
  <si>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</si>
  <si>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</si>
  <si>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</si>
  <si>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</si>
  <si>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</si>
  <si>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</si>
  <si>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</si>
  <si>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</si>
  <si>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</si>
  <si>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</si>
  <si>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</si>
  <si>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</si>
  <si>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</si>
  <si>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</si>
  <si>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</si>
  <si>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</si>
  <si>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</si>
  <si>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</si>
  <si>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</si>
  <si>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</si>
  <si>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</si>
  <si>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</si>
  <si>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</si>
  <si>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</si>
  <si>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</si>
  <si>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</si>
  <si>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</si>
  <si>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</si>
  <si>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</si>
  <si>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</si>
  <si>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</si>
  <si>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</si>
  <si>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</si>
  <si>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</si>
  <si>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</si>
  <si>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</si>
  <si>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</si>
  <si>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</si>
  <si>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</si>
  <si>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</si>
  <si>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</si>
  <si>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</si>
  <si>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</si>
  <si>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</si>
  <si>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</si>
  <si>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</si>
  <si>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</si>
  <si>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</si>
  <si>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</si>
  <si>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</si>
  <si>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</si>
  <si>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</si>
  <si>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</si>
  <si>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</si>
  <si>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</si>
  <si>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</si>
  <si>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</si>
  <si>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</si>
  <si>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</si>
  <si>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</si>
  <si>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</si>
  <si>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</si>
  <si>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</si>
  <si>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</si>
  <si>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</si>
  <si>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</si>
  <si>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</si>
  <si>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</si>
  <si>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</si>
  <si>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</si>
  <si>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</si>
  <si>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</si>
  <si>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</si>
  <si>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</si>
  <si>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</si>
  <si>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</si>
  <si>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</si>
  <si>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</si>
  <si>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</si>
  <si>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</si>
  <si>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</si>
  <si>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</si>
  <si>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</si>
  <si>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</si>
  <si>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</si>
  <si>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</si>
  <si>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</si>
  <si>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</si>
  <si>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</si>
  <si>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</si>
  <si>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</si>
  <si>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</si>
  <si>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</si>
  <si>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</si>
  <si>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</si>
  <si>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</si>
  <si>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</si>
  <si>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</si>
  <si>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</si>
  <si>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</si>
  <si>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</si>
  <si>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</si>
  <si>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</si>
  <si>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</si>
  <si>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</si>
  <si>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</si>
  <si>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</si>
  <si>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</si>
  <si>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</si>
  <si>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</si>
  <si>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</si>
  <si>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</si>
  <si>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</si>
  <si>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</si>
  <si>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</si>
  <si>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</si>
  <si>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</si>
  <si>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</si>
  <si>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</si>
  <si>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</si>
  <si>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</si>
  <si>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</si>
  <si>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</si>
  <si>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</si>
  <si>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</si>
  <si>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</si>
  <si>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</si>
  <si>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</si>
  <si>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</si>
  <si>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</si>
  <si>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</si>
  <si>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</si>
  <si>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</si>
  <si>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</si>
  <si>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</si>
  <si>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</si>
  <si>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</si>
  <si>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</si>
  <si>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</si>
  <si>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</si>
  <si>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</si>
  <si>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</si>
  <si>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</si>
  <si>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</si>
  <si>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</si>
  <si>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</si>
  <si>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</si>
  <si>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</si>
  <si>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</si>
  <si>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</si>
  <si>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</si>
  <si>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</si>
  <si>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</si>
  <si>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</si>
  <si>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</si>
  <si>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</si>
  <si>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</si>
  <si>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</si>
  <si>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</si>
  <si>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</si>
  <si>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</si>
  <si>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</si>
  <si>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</si>
  <si>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</si>
  <si>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</si>
  <si>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</si>
  <si>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</si>
  <si>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</si>
  <si>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</si>
  <si>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</si>
  <si>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</si>
  <si>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</si>
  <si>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</si>
  <si>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</si>
  <si>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</si>
  <si>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d7899600-6928-11ed-9639-a159efc3cd28</t>
  </si>
  <si>
    <t>071b4b00-6705-11ed-b848-11b56b75d19e</t>
  </si>
  <si>
    <t>47b51720-6ffe-11ed-95a3-d120f673b6bc</t>
  </si>
  <si>
    <t>db6d10b0-762c-11ed-afbf-9f9f6137eb5f</t>
  </si>
  <si>
    <t>93afe780-7630-11ed-afbf-9f9f6137eb5f</t>
  </si>
  <si>
    <t>1f2bd790-7633-11ed-afbf-9f9f6137eb5f</t>
  </si>
  <si>
    <t>82212d30-7635-11ed-afbf-9f9f6137eb5f</t>
  </si>
  <si>
    <t>18cdda60-763d-11ed-afbf-9f9f6137eb5f</t>
  </si>
  <si>
    <t>f85c7720-763f-11ed-afbf-9f9f6137eb5f</t>
  </si>
  <si>
    <t>2232b120-7642-11ed-afbf-9f9f6137eb5f</t>
  </si>
  <si>
    <t>64670ed0-7645-11ed-afbf-9f9f6137eb5f</t>
  </si>
  <si>
    <t>d54f99c0-7648-11ed-afbf-9f9f6137eb5f</t>
  </si>
  <si>
    <t>59a00f00-764b-11ed-afbf-9f9f6137eb5f</t>
  </si>
  <si>
    <t>c9b253a0-764d-11ed-afbf-9f9f6137eb5f</t>
  </si>
  <si>
    <t>93766fe0-764f-11ed-afbf-9f9f6137eb5f</t>
  </si>
  <si>
    <t>9a510430-7652-11ed-afbf-9f9f6137eb5f</t>
  </si>
  <si>
    <t>8a18b220-7657-11ed-afbf-9f9f6137eb5f</t>
  </si>
  <si>
    <t>8c610990-7659-11ed-afbf-9f9f6137eb5f</t>
  </si>
  <si>
    <t>e9e05c90-765b-11ed-afbf-9f9f6137eb5f</t>
  </si>
  <si>
    <t>33855460-765f-11ed-afbf-9f9f6137eb5f</t>
  </si>
  <si>
    <t>995c3ec0-7664-11ed-afbf-9f9f6137eb5f</t>
  </si>
  <si>
    <t>9f33d770-7666-11ed-afbf-9f9f6137eb5f</t>
  </si>
  <si>
    <t>0b4f6670-7669-11ed-afbf-9f9f6137eb5f</t>
  </si>
  <si>
    <t>44a53790-766b-11ed-afbf-9f9f6137eb5f</t>
  </si>
  <si>
    <t>42a69680-766d-11ed-afbf-9f9f6137eb5f</t>
  </si>
  <si>
    <t>d95f8770-766e-11ed-afbf-9f9f6137eb5f</t>
  </si>
  <si>
    <t>bb0d9e40-7670-11ed-afbf-9f9f6137eb5f</t>
  </si>
  <si>
    <t>0134cf10-7676-11ed-afbf-9f9f6137eb5f</t>
  </si>
  <si>
    <t>5bce1920-7678-11ed-afbf-9f9f6137eb5f</t>
  </si>
  <si>
    <t>81f5ca10-767a-11ed-afbf-9f9f6137eb5f</t>
  </si>
  <si>
    <t>60947e00-767c-11ed-afbf-9f9f6137eb5f</t>
  </si>
  <si>
    <t>6f50e4d0-767f-11ed-afbf-9f9f6137eb5f</t>
  </si>
  <si>
    <t>c07c6fc0-7682-11ed-afbf-9f9f6137eb5f</t>
  </si>
  <si>
    <t>bb473f50-7685-11ed-afbf-9f9f6137eb5f</t>
  </si>
  <si>
    <t>30b8ca40-7688-11ed-afbf-9f9f6137eb5f</t>
  </si>
  <si>
    <t>0bbd6350-7691-11ed-afbf-9f9f6137eb5f</t>
  </si>
  <si>
    <t>b63211a0-7696-11ed-afbf-9f9f6137eb5f</t>
  </si>
  <si>
    <t>ff6b2840-7699-11ed-afbf-9f9f6137eb5f</t>
  </si>
  <si>
    <t>4d732c10-769d-11ed-afbf-9f9f6137eb5f</t>
  </si>
  <si>
    <t>ccf4d0a0-769e-11ed-afbf-9f9f6137eb5f</t>
  </si>
  <si>
    <t>9e7d9a70-76a0-11ed-afbf-9f9f6137eb5f</t>
  </si>
  <si>
    <t>5c6b0350-76a2-11ed-afbf-9f9f6137eb5f</t>
  </si>
  <si>
    <t>e092d760-76a3-11ed-afbf-9f9f6137eb5f</t>
  </si>
  <si>
    <t>151b9010-76a6-11ed-afbf-9f9f6137eb5f</t>
  </si>
  <si>
    <t>99659220-76a7-11ed-afbf-9f9f6137eb5f</t>
  </si>
  <si>
    <t>e9a6cf00-76a8-11ed-afbf-9f9f6137eb5f</t>
  </si>
  <si>
    <t>72cba420-76b5-11ed-afbf-9f9f6137eb5f</t>
  </si>
  <si>
    <t>a86bd560-76b9-11ed-afbf-9f9f6137eb5f</t>
  </si>
  <si>
    <t>0b4369d0-76bc-11ed-afbf-9f9f6137eb5f</t>
  </si>
  <si>
    <t>c59327a0-76bf-11ed-afbf-9f9f6137eb5f</t>
  </si>
  <si>
    <t>1e4a75d0-76c3-11ed-afbf-9f9f6137eb5f</t>
  </si>
  <si>
    <t>45e0aae0-76c5-11ed-afbf-9f9f6137eb5f</t>
  </si>
  <si>
    <t>63f7d830-76c7-11ed-afbf-9f9f6137eb5f</t>
  </si>
  <si>
    <t>24529790-76c9-11ed-afbf-9f9f6137eb5f</t>
  </si>
  <si>
    <t>3bd1b070-76cb-11ed-afbf-9f9f6137eb5f</t>
  </si>
  <si>
    <t>21928900-76d0-11ed-afbf-9f9f6137eb5f</t>
  </si>
  <si>
    <t>5dc450f0-76d2-11ed-afbf-9f9f6137eb5f</t>
  </si>
  <si>
    <t>3cb3c780-76d5-11ed-afbf-9f9f6137eb5f</t>
  </si>
  <si>
    <t>594f9f70-76d7-11ed-afbf-9f9f6137eb5f</t>
  </si>
  <si>
    <t>bcbf3f10-76e2-11ed-9001-87dbebd29ef6</t>
  </si>
  <si>
    <t>6af0c3c0-76e7-11ed-b7ce-e51b81f50bdd</t>
  </si>
  <si>
    <t>b7ed22f0-76f5-11ed-9da8-8fb6458e129f</t>
  </si>
  <si>
    <t>5834d640-76fb-11ed-9da8-8fb6458e129f</t>
  </si>
  <si>
    <t>6aa8ca00-7702-11ed-9da8-8fb6458e129f</t>
  </si>
  <si>
    <t>7ae81890-770b-11ed-9da8-8fb6458e129f</t>
  </si>
  <si>
    <t>b0561640-770f-11ed-9da8-8fb6458e129f</t>
  </si>
  <si>
    <t>c46c64d0-7715-11ed-9da8-8fb6458e129f</t>
  </si>
  <si>
    <t>10846d90-771b-11ed-9da8-8fb6458e129f</t>
  </si>
  <si>
    <t>f80ab1f0-7721-11ed-9da8-8fb6458e129f</t>
  </si>
  <si>
    <t>83bb34a0-7726-11ed-9da8-8fb6458e129f</t>
  </si>
  <si>
    <t>5681a730-772b-11ed-9da8-8fb6458e129f</t>
  </si>
  <si>
    <t>ce7142c0-7733-11ed-9da8-8fb6458e129f</t>
  </si>
  <si>
    <t>ebbd1ee0-7737-11ed-9da8-8fb6458e129f</t>
  </si>
  <si>
    <t>850b2380-7742-11ed-9da8-8fb6458e129f</t>
  </si>
  <si>
    <t>a5f4ca60-7747-11ed-9da8-8fb6458e129f</t>
  </si>
  <si>
    <t>53c6fb90-774d-11ed-9da8-8fb6458e129f</t>
  </si>
  <si>
    <t>c235de80-7751-11ed-9da8-8fb6458e129f</t>
  </si>
  <si>
    <t>f44a17f0-7757-11ed-9da8-8fb6458e129f</t>
  </si>
  <si>
    <t>a3e7cf70-775f-11ed-9da8-8fb6458e129f</t>
  </si>
  <si>
    <t>d06ac800-7763-11ed-9da8-8fb6458e129f</t>
  </si>
  <si>
    <t>02303010-7768-11ed-9da8-8fb6458e129f</t>
  </si>
  <si>
    <t>02b1c9e0-776d-11ed-9da8-8fb6458e129f</t>
  </si>
  <si>
    <t>5a704e40-7772-11ed-9da8-8fb6458e129f</t>
  </si>
  <si>
    <t>5dd63bf0-777a-11ed-9da8-8fb6458e129f</t>
  </si>
  <si>
    <t>85e988e0-777f-11ed-9da8-8fb6458e129f</t>
  </si>
  <si>
    <t>e106ac20-7785-11ed-9da8-8fb6458e129f</t>
  </si>
  <si>
    <t>42be5800-7790-11ed-9da8-8fb6458e129f</t>
  </si>
  <si>
    <t>1c5972d0-7795-11ed-9da8-8fb6458e129f</t>
  </si>
  <si>
    <t>3914c760-779c-11ed-9da8-8fb6458e129f</t>
  </si>
  <si>
    <t>110a6f90-77a1-11ed-9da8-8fb6458e129f</t>
  </si>
  <si>
    <t>422c7640-77a6-11ed-9da8-8fb6458e129f</t>
  </si>
  <si>
    <t>fa0d7e00-77a9-11ed-9da8-8fb6458e129f</t>
  </si>
  <si>
    <t>516614a0-77af-11ed-9da8-8fb6458e129f</t>
  </si>
  <si>
    <t>752701f0-77b5-11ed-9da8-8fb6458e129f</t>
  </si>
  <si>
    <t>c2a9a1c0-77bb-11ed-9da8-8fb6458e129f</t>
  </si>
  <si>
    <t>364dadc0-77c0-11ed-9da8-8fb6458e129f</t>
  </si>
  <si>
    <t>119280f0-77c5-11ed-9da8-8fb6458e129f</t>
  </si>
  <si>
    <t>688f14e0-77ca-11ed-9da8-8fb6458e129f</t>
  </si>
  <si>
    <t>1e72e8e0-77d5-11ed-9da8-8fb6458e129f</t>
  </si>
  <si>
    <t>5ff2f540-77d9-11ed-9da8-8fb6458e129f</t>
  </si>
  <si>
    <t>bda4b800-77dd-11ed-9da8-8fb6458e129f</t>
  </si>
  <si>
    <t>801fa600-77e4-11ed-9da8-8fb6458e129f</t>
  </si>
  <si>
    <t>13b83cc0-77e9-11ed-9da8-8fb6458e129f</t>
  </si>
  <si>
    <t>8d088120-77ee-11ed-9da8-8fb6458e129f</t>
  </si>
  <si>
    <t>e67200f0-77f4-11ed-9da8-8fb6458e129f</t>
  </si>
  <si>
    <t>ca238180-77f9-11ed-9da8-8fb6458e129f</t>
  </si>
  <si>
    <t>d3165530-7801-11ed-9da8-8fb6458e129f</t>
  </si>
  <si>
    <t>81c20100-7808-11ed-9da8-8fb6458e129f</t>
  </si>
  <si>
    <t>86647840-780e-11ed-9da8-8fb6458e129f</t>
  </si>
  <si>
    <t>4d4279a0-7812-11ed-9da8-8fb6458e129f</t>
  </si>
  <si>
    <t>0cbfc9f0-7817-11ed-9da8-8fb6458e129f</t>
  </si>
  <si>
    <t>7ba260d0-781c-11ed-9da8-8fb6458e129f</t>
  </si>
  <si>
    <t>423c9b10-7823-11ed-9da8-8fb6458e129f</t>
  </si>
  <si>
    <t>021e5280-7828-11ed-9da8-8fb6458e129f</t>
  </si>
  <si>
    <t>7757c100-782b-11ed-9da8-8fb6458e129f</t>
  </si>
  <si>
    <t>683f36d0-7830-11ed-9da8-8fb6458e129f</t>
  </si>
  <si>
    <t>4922add0-7836-11ed-9da8-8fb6458e129f</t>
  </si>
  <si>
    <t>614e5300-783b-11ed-9da8-8fb6458e129f</t>
  </si>
  <si>
    <t>43a06aa0-7840-11ed-9da8-8fb6458e129f</t>
  </si>
  <si>
    <t>b7414250-7844-11ed-9da8-8fb6458e129f</t>
  </si>
  <si>
    <t>e96e93f0-7848-11ed-9da8-8fb6458e129f</t>
  </si>
  <si>
    <t>31153c00-7852-11ed-9da8-8fb6458e129f</t>
  </si>
  <si>
    <t>63731e10-7857-11ed-9da8-8fb6458e129f</t>
  </si>
  <si>
    <t>6e0c99b0-785b-11ed-9da8-8fb6458e129f</t>
  </si>
  <si>
    <t>d43b3670-785f-11ed-9da8-8fb6458e129f</t>
  </si>
  <si>
    <t>c4c47c20-7863-11ed-9da8-8fb6458e129f</t>
  </si>
  <si>
    <t>6e87d470-786c-11ed-9da8-8fb6458e129f</t>
  </si>
  <si>
    <t>3c21a970-7871-11ed-9da8-8fb6458e129f</t>
  </si>
  <si>
    <t>2564ae70-7877-11ed-9da8-8fb6458e129f</t>
  </si>
  <si>
    <t>f3ae4740-7882-11ed-9da8-8fb6458e129f</t>
  </si>
  <si>
    <t>d2174100-788b-11ed-9da8-8fb6458e129f</t>
  </si>
  <si>
    <t>ec493d80-7890-11ed-9da8-8fb6458e129f</t>
  </si>
  <si>
    <t>364d2160-7898-11ed-9da8-8fb6458e129f</t>
  </si>
  <si>
    <t>bb133470-789d-11ed-9da8-8fb6458e129f</t>
  </si>
  <si>
    <t>e0488ec0-78a2-11ed-9da8-8fb6458e129f</t>
  </si>
  <si>
    <t>0194ef10-78a8-11ed-9da8-8fb6458e129f</t>
  </si>
  <si>
    <t>30993b50-78ac-11ed-9da8-8fb6458e129f</t>
  </si>
  <si>
    <t>c3e9ef70-78b7-11ed-9da8-8fb6458e129f</t>
  </si>
  <si>
    <t>ee3869e0-78bd-11ed-9da8-8fb6458e129f</t>
  </si>
  <si>
    <t>8ded84b0-78c4-11ed-9da8-8fb6458e129f</t>
  </si>
  <si>
    <t>9f4d3ec0-78ca-11ed-9da8-8fb6458e129f</t>
  </si>
  <si>
    <t>df109fa0-78d1-11ed-9da8-8fb6458e129f</t>
  </si>
  <si>
    <t>27fa39e0-78d9-11ed-9da8-8fb6458e129f</t>
  </si>
  <si>
    <t>26edeb40-78df-11ed-9da8-8fb6458e129f</t>
  </si>
  <si>
    <t>b1a296e0-78e5-11ed-9da8-8fb6458e129f</t>
  </si>
  <si>
    <t>a9ba6980-78ea-11ed-9da8-8fb6458e129f</t>
  </si>
  <si>
    <t>2bf75620-78ef-11ed-9da8-8fb6458e129f</t>
  </si>
  <si>
    <t>20e66a20-78f7-11ed-9da8-8fb6458e129f</t>
  </si>
  <si>
    <t>a4051c80-7901-11ed-9da8-8fb6458e129f</t>
  </si>
  <si>
    <t>64dc9e40-7909-11ed-9da8-8fb6458e129f</t>
  </si>
  <si>
    <t>b956f420-790e-11ed-9da8-8fb6458e129f</t>
  </si>
  <si>
    <t>d60d3840-7918-11ed-9da8-8fb6458e129f</t>
  </si>
  <si>
    <t>be705a00-791d-11ed-9da8-8fb6458e129f</t>
  </si>
  <si>
    <t>c0d7dff0-7924-11ed-9da8-8fb6458e129f</t>
  </si>
  <si>
    <t>c8d0fc40-792a-11ed-9da8-8fb6458e129f</t>
  </si>
  <si>
    <t>04c04ab0-7932-11ed-9da8-8fb6458e129f</t>
  </si>
  <si>
    <t>015e41b0-7937-11ed-9da8-8fb6458e129f</t>
  </si>
  <si>
    <t>bd856220-793b-11ed-9da8-8fb6458e129f</t>
  </si>
  <si>
    <t>47677420-7945-11ed-9da8-8fb6458e129f</t>
  </si>
  <si>
    <t>77d53b70-7949-11ed-9da8-8fb6458e129f</t>
  </si>
  <si>
    <t>c40d1db0-794d-11ed-9da8-8fb6458e129f</t>
  </si>
  <si>
    <t>0c439bf0-7952-11ed-9da8-8fb6458e129f</t>
  </si>
  <si>
    <t>4f42ce40-7956-11ed-9da8-8fb6458e129f</t>
  </si>
  <si>
    <t>c8bf8460-795c-11ed-9da8-8fb6458e129f</t>
  </si>
  <si>
    <t>923f58c0-796b-11ed-9da8-8fb6458e129f</t>
  </si>
  <si>
    <t>89787c70-7976-11ed-9da8-8fb6458e129f</t>
  </si>
  <si>
    <t>fe3b2260-797b-11ed-9da8-8fb6458e129f</t>
  </si>
  <si>
    <t>73c5a1a0-7980-11ed-9da8-8fb6458e129f</t>
  </si>
  <si>
    <t>ef975630-7984-11ed-9da8-8fb6458e129f</t>
  </si>
  <si>
    <t>baa2c2b0-798a-11ed-9da8-8fb6458e129f</t>
  </si>
  <si>
    <t>20e54020-7990-11ed-9da8-8fb6458e129f</t>
  </si>
  <si>
    <t>b69c2300-7994-11ed-9da8-8fb6458e129f</t>
  </si>
  <si>
    <t>2fcfc990-7998-11ed-9da8-8fb6458e129f</t>
  </si>
  <si>
    <t>afc70bf0-799c-11ed-9da8-8fb6458e129f</t>
  </si>
  <si>
    <t>ea2704a0-799f-11ed-9da8-8fb6458e129f</t>
  </si>
  <si>
    <t>33df6b20-79a8-11ed-9da8-8fb6458e129f</t>
  </si>
  <si>
    <t>43f1ec10-79ab-11ed-9da8-8fb6458e129f</t>
  </si>
  <si>
    <t>37aa0380-79af-11ed-9da8-8fb6458e129f</t>
  </si>
  <si>
    <t>3609a7b0-79b4-11ed-9da8-8fb6458e129f</t>
  </si>
  <si>
    <t>a3365130-79b9-11ed-9da8-8fb6458e129f</t>
  </si>
  <si>
    <t>01956060-79bd-11ed-9da8-8fb6458e129f</t>
  </si>
  <si>
    <t>fc384020-79c0-11ed-9da8-8fb6458e129f</t>
  </si>
  <si>
    <t>0ade5870-79c7-11ed-9da8-8fb6458e129f</t>
  </si>
  <si>
    <t>6ede23c0-79ca-11ed-9da8-8fb6458e129f</t>
  </si>
  <si>
    <t>ad1e2050-79ce-11ed-9da8-8fb6458e129f</t>
  </si>
  <si>
    <t>09495f90-79d2-11ed-9da8-8fb6458e129f</t>
  </si>
  <si>
    <t>5d844d60-79d5-11ed-9da8-8fb6458e129f</t>
  </si>
  <si>
    <t>ec4ee150-79d9-11ed-9da8-8fb6458e129f</t>
  </si>
  <si>
    <t>6cc84c00-79de-11ed-9da8-8fb6458e129f</t>
  </si>
  <si>
    <t>7437f790-79e5-11ed-9da8-8fb6458e129f</t>
  </si>
  <si>
    <t>103f1070-79ea-11ed-9da8-8fb6458e129f</t>
  </si>
  <si>
    <t>e72a7490-79ee-11ed-9da8-8fb6458e129f</t>
  </si>
  <si>
    <t>e2cf0ce0-79f2-11ed-9da8-8fb6458e129f</t>
  </si>
  <si>
    <t>2fb641f0-79f7-11ed-9da8-8fb6458e129f</t>
  </si>
  <si>
    <t>229e8640-79fb-11ed-9da8-8fb6458e129f</t>
  </si>
  <si>
    <t>97bca490-79fe-11ed-9da8-8fb6458e129f</t>
  </si>
  <si>
    <t>508530b0-7a03-11ed-9da8-8fb6458e129f</t>
  </si>
  <si>
    <t>95172610-7a09-11ed-9da8-8fb6458e129f</t>
  </si>
  <si>
    <t>51246070-7a0f-11ed-9da8-8fb6458e129f</t>
  </si>
  <si>
    <t>49468bf0-7a17-11ed-9da8-8fb6458e129f</t>
  </si>
  <si>
    <t>43c094b0-7a20-11ed-9da8-8fb6458e129f</t>
  </si>
  <si>
    <t>d72e9900-7a24-11ed-9da8-8fb6458e129f</t>
  </si>
  <si>
    <t>24c85fc0-7a2a-11ed-9da8-8fb6458e129f</t>
  </si>
  <si>
    <t>7d995b00-7a2e-11ed-9da8-8fb6458e129f</t>
  </si>
  <si>
    <t>4b450a50-7a33-11ed-9da8-8fb6458e129f</t>
  </si>
  <si>
    <t>73ca8490-7a39-11ed-9da8-8fb6458e129f</t>
  </si>
  <si>
    <t>dde47a60-7a3f-11ed-9da8-8fb6458e129f</t>
  </si>
  <si>
    <t>d9270010-7a44-11ed-9da8-8fb6458e129f</t>
  </si>
  <si>
    <t>e2b46d70-7a49-11ed-9da8-8fb6458e129f</t>
  </si>
  <si>
    <t>ac5ac450-7a52-11ed-9da8-8fb6458e129f</t>
  </si>
  <si>
    <t>39398dd0-7a57-11ed-9da8-8fb6458e129f</t>
  </si>
  <si>
    <t>edb67870-7a59-11ed-9da8-8fb6458e129f</t>
  </si>
  <si>
    <t>7af83ef0-7a5d-11ed-9da8-8fb6458e129f</t>
  </si>
  <si>
    <t>0e356f40-7a62-11ed-9da8-8fb6458e129f</t>
  </si>
  <si>
    <t>88b04660-7a66-11ed-9da8-8fb6458e129f</t>
  </si>
  <si>
    <t>7686aba0-7a6b-11ed-9da8-8fb6458e129f</t>
  </si>
  <si>
    <t>4a816d90-7a72-11ed-9da8-8fb6458e129f</t>
  </si>
  <si>
    <t>451950d0-7a76-11ed-9da8-8fb6458e129f</t>
  </si>
  <si>
    <t>75c1bab0-7a7b-11ed-9da8-8fb6458e129f</t>
  </si>
  <si>
    <t>79c74090-7a7f-11ed-9da8-8fb6458e129f</t>
  </si>
  <si>
    <t>0ed57570-7a86-11ed-9da8-8fb6458e129f</t>
  </si>
  <si>
    <t>225b2420-7a89-11ed-9da8-8fb6458e129f</t>
  </si>
  <si>
    <t>e2d28150-7a8c-11ed-9da8-8fb6458e129f</t>
  </si>
  <si>
    <t>fd008630-7a91-11ed-9da8-8fb6458e129f</t>
  </si>
  <si>
    <t>0074e510-7a95-11ed-9da8-8fb6458e129f</t>
  </si>
  <si>
    <t>412c4a40-7a99-11ed-9da8-8fb6458e129f</t>
  </si>
  <si>
    <t>0bb02cb0-7a9e-11ed-9da8-8fb6458e129f</t>
  </si>
  <si>
    <t>e9cdd780-7aa4-11ed-9da8-8fb6458e129f</t>
  </si>
  <si>
    <t>ac9b1620-7aa9-11ed-9da8-8fb6458e129f</t>
  </si>
  <si>
    <t>250cc4e0-7ab0-11ed-9da8-8fb6458e129f</t>
  </si>
  <si>
    <t>428e4c70-7ab3-11ed-9da8-8fb6458e129f</t>
  </si>
  <si>
    <t>e4ff2150-7ab8-11ed-9da8-8fb6458e129f</t>
  </si>
  <si>
    <t>a74e1d50-7abf-11ed-9da8-8fb6458e129f</t>
  </si>
  <si>
    <t>90637810-7ac4-11ed-9da8-8fb6458e129f</t>
  </si>
  <si>
    <t>95b2e310-7ac8-11ed-9da8-8fb6458e129f</t>
  </si>
  <si>
    <t>e769c8a0-7acc-11ed-9da8-8fb6458e129f</t>
  </si>
  <si>
    <t>72e44730-7ad1-11ed-9da8-8fb6458e129f</t>
  </si>
  <si>
    <t>56006590-7ad6-11ed-9da8-8fb6458e129f</t>
  </si>
  <si>
    <t>c0c720b0-7add-11ed-9da8-8fb6458e129f</t>
  </si>
  <si>
    <t>083c7c60-7ae3-11ed-9da8-8fb6458e129f</t>
  </si>
  <si>
    <t>1461ef30-7ae7-11ed-9da8-8fb6458e129f</t>
  </si>
  <si>
    <t>39ec4750-7aec-11ed-9da8-8fb6458e129f</t>
  </si>
  <si>
    <t>aedf36f0-7aef-11ed-9da8-8fb6458e129f</t>
  </si>
  <si>
    <t>f67e9690-7af9-11ed-9da8-8fb6458e129f</t>
  </si>
  <si>
    <t>e7f5fae0-7aff-11ed-9da8-8fb6458e129f</t>
  </si>
  <si>
    <t>a9625480-7b05-11ed-9da8-8fb6458e129f</t>
  </si>
  <si>
    <t>285daab0-7b0a-11ed-9da8-8fb6458e129f</t>
  </si>
  <si>
    <t>68248370-7b10-11ed-9da8-8fb6458e129f</t>
  </si>
  <si>
    <t>e1742ec0-7b19-11ed-9da8-8fb6458e129f</t>
  </si>
  <si>
    <t>7da2f3e0-7b1e-11ed-9da8-8fb6458e129f</t>
  </si>
  <si>
    <t>3d8f59b0-7b23-11ed-9da8-8fb6458e129f</t>
  </si>
  <si>
    <t>13dac9c0-7b27-11ed-9da8-8fb6458e129f</t>
  </si>
  <si>
    <t>f016c3a0-7b2a-11ed-9da8-8fb6458e129f</t>
  </si>
  <si>
    <t>0f1aec30-7b31-11ed-9da8-8fb6458e129f</t>
  </si>
  <si>
    <t>a7fcdad0-7b36-11ed-9da8-8fb6458e129f</t>
  </si>
  <si>
    <t>f8c44cc0-7b39-11ed-9da8-8fb6458e129f</t>
  </si>
  <si>
    <t>74327a00-7b3d-11ed-9da8-8fb6458e129f</t>
  </si>
  <si>
    <t>991f0b80-7b42-11ed-9da8-8fb6458e129f</t>
  </si>
  <si>
    <t>b81deed0-7b46-11ed-9da8-8fb6458e129f</t>
  </si>
  <si>
    <t>65e62300-7b4e-11ed-9da8-8fb6458e129f</t>
  </si>
  <si>
    <t>52cffad0-7b52-11ed-9da8-8fb6458e129f</t>
  </si>
  <si>
    <t>6d124070-7b56-11ed-9da8-8fb6458e129f</t>
  </si>
  <si>
    <t>0e000250-7b5d-11ed-9da8-8fb6458e129f</t>
  </si>
  <si>
    <t>eeb5f620-7b61-11ed-9da8-8fb6458e129f</t>
  </si>
  <si>
    <t>3096dfd0-7b69-11ed-9da8-8fb6458e129f</t>
  </si>
  <si>
    <t>a996afb0-7b6d-11ed-9da8-8fb6458e129f</t>
  </si>
  <si>
    <t>c155a5d0-7b71-11ed-9da8-8fb6458e129f</t>
  </si>
  <si>
    <t>4c088410-7b75-11ed-9da8-8fb6458e129f</t>
  </si>
  <si>
    <t>b374c660-7b78-11ed-9da8-8fb6458e129f</t>
  </si>
  <si>
    <t>8bdedb40-7b7d-11ed-9da8-8fb6458e129f</t>
  </si>
  <si>
    <t>ff98aa70-7b87-11ed-9da8-8fb6458e129f</t>
  </si>
  <si>
    <t>3023a170-7bb2-11ed-be17-074e6333750d</t>
  </si>
  <si>
    <t>a52273c0-7bbc-11ed-be17-074e6333750d</t>
  </si>
  <si>
    <t>a42c3aa0-7bc1-11ed-be17-074e6333750d</t>
  </si>
  <si>
    <t>ebd309c0-7bca-11ed-be17-074e6333750d</t>
  </si>
  <si>
    <t>0bea3380-7bd2-11ed-be17-074e6333750d</t>
  </si>
  <si>
    <t>b106d200-7bd8-11ed-be17-074e6333750d</t>
  </si>
  <si>
    <t>84a46de0-7be1-11ed-be17-074e6333750d</t>
  </si>
  <si>
    <t>36d4a160-7c3c-11ed-b958-112fe5ec4333</t>
  </si>
  <si>
    <t>8749b3f0-7c47-11ed-b958-112fe5ec4333</t>
  </si>
  <si>
    <t>312a6d60-7c52-11ed-b958-112fe5ec4333</t>
  </si>
  <si>
    <t>d28f56e0-7c5f-11ed-b958-112fe5ec4333</t>
  </si>
  <si>
    <t>b271c6b0-7c67-11ed-b958-112fe5ec4333</t>
  </si>
  <si>
    <t>c9d0bb20-7c6e-11ed-b958-112fe5ec4333</t>
  </si>
  <si>
    <t>4569c7f0-7c7d-11ed-b958-112fe5ec4333</t>
  </si>
  <si>
    <t>480f24c0-7c85-11ed-b958-112fe5ec4333</t>
  </si>
  <si>
    <t>162a85d0-7c8a-11ed-b958-112fe5ec4333</t>
  </si>
  <si>
    <t>e3dd8720-7c99-11ed-b958-112fe5ec4333</t>
  </si>
  <si>
    <t>731f8da0-7ca1-11ed-b958-112fe5ec4333</t>
  </si>
  <si>
    <t>dcaae8b0-7d4f-11ed-97ea-9541f64fc5bd</t>
  </si>
  <si>
    <t>c1c439d0-7d58-11ed-97ea-9541f64fc5bd</t>
  </si>
  <si>
    <t>c05e71d0-7d64-11ed-97ea-9541f64fc5bd</t>
  </si>
  <si>
    <t>abf56d60-7d74-11ed-97ea-9541f64fc5bd</t>
  </si>
  <si>
    <t>837026f0-7d7e-11ed-97ea-9541f64fc5bd</t>
  </si>
  <si>
    <t>9a7de2f0-7dd9-11ed-8bab-8b60fb198ce0</t>
  </si>
  <si>
    <t>2d32d3a0-7de2-11ed-8bab-8b60fb198ce0</t>
  </si>
  <si>
    <t>a255ec40-7deb-11ed-8bab-8b60fb198ce0</t>
  </si>
  <si>
    <t>e13dcc20-7df0-11ed-8bab-8b60fb198ce0</t>
  </si>
  <si>
    <t>ddaf8d90-7df6-11ed-8bab-8b60fb198ce0</t>
  </si>
  <si>
    <t>75209c30-7dfe-11ed-8bab-8b60fb198ce0</t>
  </si>
  <si>
    <t>ee311870-7e03-11ed-8bab-8b60fb198ce0</t>
  </si>
  <si>
    <t>785ff240-7e0a-11ed-8bab-8b60fb198ce0</t>
  </si>
  <si>
    <t>d3928430-7e0e-11ed-8bab-8b60fb198ce0</t>
  </si>
  <si>
    <t>70b61750-7e18-11ed-8bab-8b60fb198ce0</t>
  </si>
  <si>
    <t>a06d7830-7e22-11ed-8bab-8b60fb198ce0</t>
  </si>
  <si>
    <t>754ac760-7e28-11ed-8bab-8b60fb198ce0</t>
  </si>
  <si>
    <t>f9859f80-7e2f-11ed-8bab-8b60fb198ce0</t>
  </si>
  <si>
    <t>c3ef2d10-7e3d-11ed-8bab-8b60fb198ce0</t>
  </si>
  <si>
    <t>f852fbd0-7e43-11ed-8bab-8b60fb198ce0</t>
  </si>
  <si>
    <t>22ab1330-7e4a-11ed-8bab-8b60fb198ce0</t>
  </si>
  <si>
    <t>d334a950-7ea9-11ed-b2cc-2de6cdc0f1de</t>
  </si>
  <si>
    <t>fc995570-7eae-11ed-b2cc-2de6cdc0f1de</t>
  </si>
  <si>
    <t>8a9435f0-7eb6-11ed-b2cc-2de6cdc0f1de</t>
  </si>
  <si>
    <t>1f7d1da0-7ebf-11ed-b2cc-2de6cdc0f1de</t>
  </si>
  <si>
    <t>5cb24f00-7ec5-11ed-b2cc-2de6cdc0f1de</t>
  </si>
  <si>
    <t>e15c63b0-7ecc-11ed-b2cc-2de6cdc0f1de</t>
  </si>
  <si>
    <t>6abca610-7ed7-11ed-b2cc-2de6cdc0f1de</t>
  </si>
  <si>
    <t>d6cf7090-7edb-11ed-b2cc-2de6cdc0f1de</t>
  </si>
  <si>
    <t>66ca2010-7ee0-11ed-b2cc-2de6cdc0f1de</t>
  </si>
  <si>
    <t>fcedf590-7ee4-11ed-b2cc-2de6cdc0f1de</t>
  </si>
  <si>
    <t>e7d1eb40-7ee8-11ed-b2cc-2de6cdc0f1de</t>
  </si>
  <si>
    <t>28d1d5b0-7eee-11ed-b2cc-2de6cdc0f1de</t>
  </si>
  <si>
    <t>819ba500-7ef2-11ed-b2cc-2de6cdc0f1de</t>
  </si>
  <si>
    <t>fcf8b0b0-7ef4-11ed-b2cc-2de6cdc0f1de</t>
  </si>
  <si>
    <t>46ec9660-7ef9-11ed-b2cc-2de6cdc0f1de</t>
  </si>
  <si>
    <t>ab75f220-7efe-11ed-b2cc-2de6cdc0f1de</t>
  </si>
  <si>
    <t>8a9f8420-7f04-11ed-b2cc-2de6cdc0f1de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</si>
</sst>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" totalsRowShown="0">
  <autoFilter ref="A1:AJ2" xr:uid="{00000000-0009-0000-0100-000001000000}"/>
  <tableColumns count="36">
    <tableColumn id="1" xr3:uid="{00000000-0010-0000-0000-000001000000}" name="battle" dataDxfId="1813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83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64" headerRowBorderDxfId="1263" tableBorderDxfId="1262" totalsRowBorderDxfId="1261">
  <autoFilter ref="K17:O20" xr:uid="{01E0B516-A92C-45D4-946B-0FCF2F31D98A}"/>
  <tableColumns count="5">
    <tableColumn id="1" xr3:uid="{F1A34086-91B1-448A-A581-8C7A371A6B38}" name="ability" dataDxfId="1260"/>
    <tableColumn id="2" xr3:uid="{1CA216CA-0230-4993-9DF5-190FC3A6530D}" name="takes" dataDxfId="1259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58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57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56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55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54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53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52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51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50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49" headerRowBorderDxfId="1248" tableBorderDxfId="1247" totalsRowBorderDxfId="1246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45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44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43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42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41" headerRowBorderDxfId="1240" tableBorderDxfId="1239" totalsRowBorderDxfId="1238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37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36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35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34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33" headerRowBorderDxfId="1232" tableBorderDxfId="1231" totalsRowBorderDxfId="1230">
  <autoFilter ref="K38:O41" xr:uid="{A1F38E75-59DE-4DB4-B81C-C0322397F6F7}"/>
  <tableColumns count="5">
    <tableColumn id="1" xr3:uid="{74357A07-E8F9-4439-8A7D-C51B3289B074}" name="ability" dataDxfId="1229"/>
    <tableColumn id="2" xr3:uid="{2B46AB72-5070-479E-BA92-0EA40B2FAD9A}" name="takes" dataDxfId="1228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27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26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25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24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23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22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21">
      <calculatedColumnFormula>COUNTIF(Scenario2[winner1-ability1],DruidAbilities1Scenario2[[#This Row],[ability]])</calculatedColumnFormula>
    </tableColumn>
    <tableColumn id="5" xr3:uid="{8E619ED0-484C-4412-A819-C4816A1E0005}" name="battles-take-rate" dataDxfId="1220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19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18" headerRowBorderDxfId="1217" tableBorderDxfId="1216" totalsRowBorderDxfId="1215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14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13">
      <calculatedColumnFormula>COUNTIF(Scenario2[winner1-ability2],DruidAbilities2Scenario2[[#This Row],[ability]])</calculatedColumnFormula>
    </tableColumn>
    <tableColumn id="4" xr3:uid="{DD2FBF56-CB12-4887-A4B2-BB3C9B0B611A}" name="battles-take-rate" dataDxfId="1212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11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10" headerRowBorderDxfId="1209" tableBorderDxfId="1208" totalsRowBorderDxfId="1207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06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05">
      <calculatedColumnFormula>COUNTIF(Scenario2[winner1-ability3],DruidAbilities3Scenario2[[#This Row],[ability]])</calculatedColumnFormula>
    </tableColumn>
    <tableColumn id="4" xr3:uid="{17A59155-4BEE-4B00-A77D-54C7568B711B}" name="battles-take-rate" dataDxfId="1204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03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82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1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0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02" headerRowBorderDxfId="1201" tableBorderDxfId="1200" totalsRowBorderDxfId="1199">
  <autoFilter ref="K59:O62" xr:uid="{DDB7F110-02A6-4F67-8266-251AF48CB7C0}"/>
  <tableColumns count="5">
    <tableColumn id="1" xr3:uid="{963218A6-E2C8-468F-A480-18EABD6D01C3}" name="ability" dataDxfId="1198"/>
    <tableColumn id="2" xr3:uid="{B7AE8A89-2A8C-49AF-8D96-6C1AB2DACE14}" name="takes" dataDxfId="1197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196">
      <calculatedColumnFormula>COUNTIF(Scenario2[winner1-ability4],DruidAbilities4Scenario2[[#This Row],[ability]])</calculatedColumnFormula>
    </tableColumn>
    <tableColumn id="4" xr3:uid="{AA29BEEB-A7D2-4818-96D2-39227A3BFA6F}" name="battles-take-rate" dataDxfId="1195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194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193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192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191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190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189">
      <calculatedColumnFormula>COUNTIF(Scenario3[winner1-ability1],DruidAbilities1Scenario3[[#This Row],[ability]])</calculatedColumnFormula>
    </tableColumn>
    <tableColumn id="5" xr3:uid="{4FF89EE2-8630-4141-AE21-A771AD1A9EF8}" name="battles-take-rate" dataDxfId="1188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187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86" headerRowBorderDxfId="1185" tableBorderDxfId="1184" totalsRowBorderDxfId="1183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82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81">
      <calculatedColumnFormula>COUNTIF(Scenario3[winner1-ability2],DruidAbilities2Scenario3[[#This Row],[ability]])</calculatedColumnFormula>
    </tableColumn>
    <tableColumn id="4" xr3:uid="{59808BF5-1BB2-4D2F-A36A-8FCA1917F73C}" name="battles-take-rate" dataDxfId="1180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79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78" headerRowBorderDxfId="1177" tableBorderDxfId="1176" totalsRowBorderDxfId="1175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74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73">
      <calculatedColumnFormula>COUNTIF(Scenario3[winner1-ability3],DruidAbilities3Scenario3[[#This Row],[ability]])</calculatedColumnFormula>
    </tableColumn>
    <tableColumn id="4" xr3:uid="{56EE8E9D-0B38-4F3C-A706-DF801F6E782A}" name="battles-take-rate" dataDxfId="1172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71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70" headerRowBorderDxfId="1169" tableBorderDxfId="1168" totalsRowBorderDxfId="1167">
  <autoFilter ref="K80:O83" xr:uid="{6C814871-D00E-4AC2-ABE0-4B3892D7F0AE}"/>
  <tableColumns count="5">
    <tableColumn id="1" xr3:uid="{B336BFD3-C277-43F6-97B4-769FAB55ABA9}" name="ability" dataDxfId="1166"/>
    <tableColumn id="2" xr3:uid="{5DC7BD53-CE7F-4C9C-B8BB-D410EDE17928}" name="takes" dataDxfId="1165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64">
      <calculatedColumnFormula>COUNTIF(Scenario3[winner1-ability4],DruidAbilities4Scenario3[[#This Row],[ability]])</calculatedColumnFormula>
    </tableColumn>
    <tableColumn id="4" xr3:uid="{B9D09778-1506-47CB-BB1F-A00AE865D740}" name="battles-take-rate" dataDxfId="1163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62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61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60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59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58">
      <calculatedColumnFormula>COUNTIF(Scenario4[winner1-ability1],DruidAbilities1Scenario4[[#This Row],[ability]])</calculatedColumnFormula>
    </tableColumn>
    <tableColumn id="5" xr3:uid="{06AAF157-CF91-4862-9B21-2300847F6670}" name="battles-take-rate" dataDxfId="1157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56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55" headerRowBorderDxfId="1154" tableBorderDxfId="1153" totalsRowBorderDxfId="1152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51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50">
      <calculatedColumnFormula>COUNTIF(Scenario4[winner1-ability2],DruidAbilities2Scenario4[[#This Row],[ability]])</calculatedColumnFormula>
    </tableColumn>
    <tableColumn id="4" xr3:uid="{FF69DC1A-7A6E-47CC-BBE3-E23DADEF715C}" name="battles-take-rate" dataDxfId="1149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48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79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78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77" totalsRowDxfId="1776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47" headerRowBorderDxfId="1146" tableBorderDxfId="1145" totalsRowBorderDxfId="1144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43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42">
      <calculatedColumnFormula>COUNTIF(Scenario4[winner1-ability3],DruidAbilities3Scenario4[[#This Row],[ability]])</calculatedColumnFormula>
    </tableColumn>
    <tableColumn id="4" xr3:uid="{E1D61A81-525A-4DC1-B6E9-25C258725BE6}" name="battles-take-rate" dataDxfId="1141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40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39" headerRowBorderDxfId="1138" tableBorderDxfId="1137" totalsRowBorderDxfId="1136">
  <autoFilter ref="K101:O104" xr:uid="{BCDE9ED1-1F22-42AC-AE3B-C1EED0842896}"/>
  <tableColumns count="5">
    <tableColumn id="1" xr3:uid="{DB6EB367-D24F-401C-919C-82D3EAEA2086}" name="ability" dataDxfId="1135"/>
    <tableColumn id="2" xr3:uid="{BBEB468B-4705-4289-A434-105410CC5CFC}" name="takes" dataDxfId="1134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33">
      <calculatedColumnFormula>COUNTIF(Scenario4[winner1-ability4],DruidAbilities4Scenario4[[#This Row],[ability]])</calculatedColumnFormula>
    </tableColumn>
    <tableColumn id="4" xr3:uid="{8295F0F3-E629-4A87-A950-FDB997C5BE5E}" name="battles-take-rate" dataDxfId="1132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31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30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29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28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27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26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25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24" headerRowBorderDxfId="1123" tableBorderDxfId="1122" totalsRowBorderDxfId="1121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20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19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18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17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16" headerRowBorderDxfId="1115" tableBorderDxfId="1114" totalsRowBorderDxfId="1113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12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11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10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09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08" headerRowBorderDxfId="1107" tableBorderDxfId="1106" totalsRowBorderDxfId="1105">
  <autoFilter ref="K122:O125" xr:uid="{2FAABC51-3ED7-410E-B39C-5A68AC6ED2E4}"/>
  <tableColumns count="5">
    <tableColumn id="1" xr3:uid="{7F722AC3-75F6-45B3-9190-827293B02D4C}" name="ability" dataDxfId="1104"/>
    <tableColumn id="2" xr3:uid="{683FB055-6956-496F-A0E9-5C2E73881138}" name="takes" dataDxfId="1103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02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01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00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099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098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097">
      <calculatedColumnFormula>L3+L24+L45+L66+L87+L108</calculatedColumnFormula>
    </tableColumn>
    <tableColumn id="4" xr3:uid="{EC3B8EC8-1BFA-48CF-8CDE-94C6F7C34CA6}" name="wins" dataDxfId="1096">
      <calculatedColumnFormula>M3+M24+M45+M66+M87+M108</calculatedColumnFormula>
    </tableColumn>
    <tableColumn id="5" xr3:uid="{F0960502-C6CE-4EB1-BD9C-74EF7F619CEB}" name="battles-take-rate" dataDxfId="1095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094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093" headerRowBorderDxfId="1092" tableBorderDxfId="1091" totalsRowBorderDxfId="1090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089">
      <calculatedColumnFormula>L8+L29+L50+L71+L92+L113</calculatedColumnFormula>
    </tableColumn>
    <tableColumn id="3" xr3:uid="{DC8F8E66-B8EB-483C-B2BE-7C9B2A81E076}" name="wins" dataDxfId="1088">
      <calculatedColumnFormula>M8+M29+M50+M71+M92+M113</calculatedColumnFormula>
    </tableColumn>
    <tableColumn id="4" xr3:uid="{5AD9DA06-82FA-4EF9-BFCA-BF0FFFF88911}" name="battles-take-rate" dataDxfId="1087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86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2" totalsRowShown="0">
  <autoFilter ref="A1:AJ2" xr:uid="{00000000-0009-0000-0100-000001000000}"/>
  <tableColumns count="36">
    <tableColumn id="1" xr3:uid="{BCD668BC-EA15-4124-A76A-A95AB955ABF3}" name="battle" dataDxfId="1772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85" headerRowBorderDxfId="1084" tableBorderDxfId="1083" totalsRowBorderDxfId="1082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81">
      <calculatedColumnFormula>L13+L34+L55+L76+L97+L118</calculatedColumnFormula>
    </tableColumn>
    <tableColumn id="3" xr3:uid="{C0F69861-77B3-4AAF-8D53-36D42207F13D}" name="wins" dataDxfId="1080">
      <calculatedColumnFormula>M13+M34+M55+M76+M97+M118</calculatedColumnFormula>
    </tableColumn>
    <tableColumn id="4" xr3:uid="{17EE2411-F535-4C09-9682-1BE2E263BF38}" name="battles-take-rate" dataDxfId="1079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78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77" headerRowBorderDxfId="1076" tableBorderDxfId="1075" totalsRowBorderDxfId="1074">
  <autoFilter ref="A17:E20" xr:uid="{2AADA4A0-2F4A-4009-8ECF-0BECA693390C}"/>
  <tableColumns count="5">
    <tableColumn id="1" xr3:uid="{5859F4D6-E405-494D-9495-456C2A717042}" name="ability" dataDxfId="1073"/>
    <tableColumn id="2" xr3:uid="{13382877-AB77-41B2-B30F-FD8ADF1868AD}" name="takes" dataDxfId="1072">
      <calculatedColumnFormula>L18+L39+L60+L81+L102+L123</calculatedColumnFormula>
    </tableColumn>
    <tableColumn id="3" xr3:uid="{56A52BF0-1C62-4182-A5FB-18D3BE10282A}" name="wins" dataDxfId="1071">
      <calculatedColumnFormula>M18+M39+M60+M81+M102+M123</calculatedColumnFormula>
    </tableColumn>
    <tableColumn id="4" xr3:uid="{F15A1649-CD46-4B82-A2D9-FCA28362795D}" name="battles-take-rate" dataDxfId="1070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69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68">
      <calculatedColumnFormula>R3+R24+R45+R66+R87+R108</calculatedColumnFormula>
    </tableColumn>
    <tableColumn id="4" xr3:uid="{069713F1-C2CC-49D1-89BE-818384A2E4FD}" name="chestpiece" dataDxfId="106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66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65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64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63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62" headerRowBorderDxfId="1061" tableBorderDxfId="1060" totalsRowBorderDxfId="1059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58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57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56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55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54" headerRowBorderDxfId="1053" tableBorderDxfId="1052" totalsRowBorderDxfId="1051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50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49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48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47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46" headerRowBorderDxfId="1045" tableBorderDxfId="1044" totalsRowBorderDxfId="1043">
  <autoFilter ref="K17:O20" xr:uid="{01E0B516-A92C-45D4-946B-0FCF2F31D98A}"/>
  <tableColumns count="5">
    <tableColumn id="1" xr3:uid="{6E3ACF5F-C817-4C40-88BC-5BCD22AC85C1}" name="ability" dataDxfId="1042"/>
    <tableColumn id="2" xr3:uid="{B913933F-DE61-4933-B988-849E3D873B6C}" name="takes" dataDxfId="1041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40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39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38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37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36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35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34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33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32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31" headerRowBorderDxfId="1030" tableBorderDxfId="1029" totalsRowBorderDxfId="1028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27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26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25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24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71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70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69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23" headerRowBorderDxfId="1022" tableBorderDxfId="1021" totalsRowBorderDxfId="1020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19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18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17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16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15" headerRowBorderDxfId="1014" tableBorderDxfId="1013" totalsRowBorderDxfId="1012">
  <autoFilter ref="K38:O41" xr:uid="{A1F38E75-59DE-4DB4-B81C-C0322397F6F7}"/>
  <tableColumns count="5">
    <tableColumn id="1" xr3:uid="{CB833622-9500-452A-9643-EC635B82CE80}" name="ability" dataDxfId="1011"/>
    <tableColumn id="2" xr3:uid="{91B01C21-E0B8-45E1-8DF5-A7B9A623E34E}" name="takes" dataDxfId="1010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09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08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07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06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05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04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03">
      <calculatedColumnFormula>COUNTIF(Scenario2[winner1-ability1],OracleAbilities1Scenario2[[#This Row],[ability]])</calculatedColumnFormula>
    </tableColumn>
    <tableColumn id="5" xr3:uid="{034FA980-30F5-4A65-930E-873C758C7280}" name="battles-take-rate" dataDxfId="1002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01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00" headerRowBorderDxfId="999" tableBorderDxfId="998" totalsRowBorderDxfId="997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996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995">
      <calculatedColumnFormula>COUNTIF(Scenario2[winner1-ability2],OracleAbilities2Scenario2[[#This Row],[ability]])</calculatedColumnFormula>
    </tableColumn>
    <tableColumn id="4" xr3:uid="{447E5C6C-E9F9-4D65-9CC8-EFF3C7DE5206}" name="battles-take-rate" dataDxfId="994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993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992" headerRowBorderDxfId="991" tableBorderDxfId="990" totalsRowBorderDxfId="989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988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987">
      <calculatedColumnFormula>COUNTIF(Scenario2[winner1-ability3],OracleAbilities3Scenario2[[#This Row],[ability]])</calculatedColumnFormula>
    </tableColumn>
    <tableColumn id="4" xr3:uid="{14BEA7A5-F9D1-44CF-A38C-50CB90297594}" name="battles-take-rate" dataDxfId="986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85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84" headerRowBorderDxfId="983" tableBorderDxfId="982" totalsRowBorderDxfId="981">
  <autoFilter ref="K59:O62" xr:uid="{DDB7F110-02A6-4F67-8266-251AF48CB7C0}"/>
  <tableColumns count="5">
    <tableColumn id="1" xr3:uid="{684380C7-16C1-449D-A8CD-E4785101BEE3}" name="ability" dataDxfId="980"/>
    <tableColumn id="2" xr3:uid="{A5078570-2F9D-4A26-860A-7EA42522F276}" name="takes" dataDxfId="979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78">
      <calculatedColumnFormula>COUNTIF(Scenario2[winner1-ability4],OracleAbilities4Scenario2[[#This Row],[ability]])</calculatedColumnFormula>
    </tableColumn>
    <tableColumn id="4" xr3:uid="{25CD52B3-8C70-4953-9C63-7606955949E3}" name="battles-take-rate" dataDxfId="977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76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75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74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73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72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71">
      <calculatedColumnFormula>COUNTIF(Scenario3[winner1-ability1],OracleAbilities1Scenario3[[#This Row],[ability]])</calculatedColumnFormula>
    </tableColumn>
    <tableColumn id="5" xr3:uid="{DE62042D-7982-4BF3-B071-8EDF692003FE}" name="battles-take-rate" dataDxfId="970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69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68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67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66" totalsRowDxfId="1765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68" headerRowBorderDxfId="967" tableBorderDxfId="966" totalsRowBorderDxfId="965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64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63">
      <calculatedColumnFormula>COUNTIF(Scenario3[winner1-ability2],OracleAbilities2Scenario3[[#This Row],[ability]])</calculatedColumnFormula>
    </tableColumn>
    <tableColumn id="4" xr3:uid="{8DF31301-6566-4092-A843-4FFDD045A618}" name="battles-take-rate" dataDxfId="962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61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60" headerRowBorderDxfId="959" tableBorderDxfId="958" totalsRowBorderDxfId="957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56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55">
      <calculatedColumnFormula>COUNTIF(Scenario3[winner1-ability3],OracleAbilities3Scenario3[[#This Row],[ability]])</calculatedColumnFormula>
    </tableColumn>
    <tableColumn id="4" xr3:uid="{3DF4458E-C16E-4A8A-B345-E3B7F6485141}" name="battles-take-rate" dataDxfId="954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53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52" headerRowBorderDxfId="951" tableBorderDxfId="950" totalsRowBorderDxfId="949">
  <autoFilter ref="K80:O83" xr:uid="{D79E2D8A-FC77-422A-AA03-F5F2585C088A}"/>
  <tableColumns count="5">
    <tableColumn id="1" xr3:uid="{DBD34D79-41EF-433F-AF97-F8A313ED3DF0}" name="ability" dataDxfId="948"/>
    <tableColumn id="2" xr3:uid="{F2E59DF2-2278-41C3-97C8-B7A29C9CCB3B}" name="takes" dataDxfId="947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46">
      <calculatedColumnFormula>COUNTIF(Scenario3[winner1-ability4],OracleAbilities4Scenario3[[#This Row],[ability]])</calculatedColumnFormula>
    </tableColumn>
    <tableColumn id="4" xr3:uid="{91B8F5F4-FFA1-4668-B2FE-3D694C677333}" name="battles-take-rate" dataDxfId="945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44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43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42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41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40">
      <calculatedColumnFormula>COUNTIF(Scenario4[winner1-ability1],OracleAbilities1Scenario4[[#This Row],[ability]])</calculatedColumnFormula>
    </tableColumn>
    <tableColumn id="5" xr3:uid="{20962A48-FDB1-4433-AD85-6B419B89A67F}" name="battles-take-rate" dataDxfId="939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38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37" headerRowBorderDxfId="936" tableBorderDxfId="935" totalsRowBorderDxfId="934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33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32">
      <calculatedColumnFormula>COUNTIF(Scenario4[winner1-ability2],OracleAbilities2Scenario4[[#This Row],[ability]])</calculatedColumnFormula>
    </tableColumn>
    <tableColumn id="4" xr3:uid="{E158F215-350E-4C9E-8771-BFA9C4D2CF70}" name="battles-take-rate" dataDxfId="931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30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29" headerRowBorderDxfId="928" tableBorderDxfId="927" totalsRowBorderDxfId="926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25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24">
      <calculatedColumnFormula>COUNTIF(Scenario4[winner1-ability3],OracleAbilities3Scenario4[[#This Row],[ability]])</calculatedColumnFormula>
    </tableColumn>
    <tableColumn id="4" xr3:uid="{545DD3BB-A8B7-4278-B9E0-8B99F4DA3A2D}" name="battles-take-rate" dataDxfId="923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22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21" headerRowBorderDxfId="920" tableBorderDxfId="919" totalsRowBorderDxfId="918">
  <autoFilter ref="K101:O104" xr:uid="{A90B60DF-6D5E-424F-AC92-0501EE8D54C9}"/>
  <tableColumns count="5">
    <tableColumn id="1" xr3:uid="{2BCBEE41-2EFE-491D-9797-7EF335F79D9B}" name="ability" dataDxfId="917"/>
    <tableColumn id="2" xr3:uid="{DF0F6ED7-41ED-40AF-884D-0FAA02427295}" name="takes" dataDxfId="916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15">
      <calculatedColumnFormula>COUNTIF(Scenario4[winner1-ability4],OracleAbilities4Scenario4[[#This Row],[ability]])</calculatedColumnFormula>
    </tableColumn>
    <tableColumn id="4" xr3:uid="{0241E110-A31B-4B51-AEEF-C37D5902AA27}" name="battles-take-rate" dataDxfId="914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13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12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11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10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09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08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07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62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06" headerRowBorderDxfId="905" tableBorderDxfId="904" totalsRowBorderDxfId="903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02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01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00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899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898" headerRowBorderDxfId="897" tableBorderDxfId="896" totalsRowBorderDxfId="895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894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893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892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891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890" headerRowBorderDxfId="889" tableBorderDxfId="888" totalsRowBorderDxfId="887">
  <autoFilter ref="K122:O125" xr:uid="{E2E1629C-B0D9-466D-BD66-8E394B74E384}"/>
  <tableColumns count="5">
    <tableColumn id="1" xr3:uid="{AA533A29-20C2-4A65-AC96-65CCA3457C7E}" name="ability" dataDxfId="886"/>
    <tableColumn id="2" xr3:uid="{8EF487D6-4412-4F93-A267-6247F705D69A}" name="takes" dataDxfId="885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84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83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82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81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80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79">
      <calculatedColumnFormula>L3+L24+L45+L66+L87+L108</calculatedColumnFormula>
    </tableColumn>
    <tableColumn id="4" xr3:uid="{35DA6B5B-7FC1-492C-B2D0-6F511F16DAD4}" name="wins" dataDxfId="878">
      <calculatedColumnFormula>M3+M24+M45+M66+M87+M108</calculatedColumnFormula>
    </tableColumn>
    <tableColumn id="5" xr3:uid="{FAF7873E-FAE0-4F3C-BAB5-7E4AC3926D8C}" name="battles-take-rate" dataDxfId="877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76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75" headerRowBorderDxfId="874" tableBorderDxfId="873" totalsRowBorderDxfId="872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71">
      <calculatedColumnFormula>L8+L29+L50+L71+L92+L113</calculatedColumnFormula>
    </tableColumn>
    <tableColumn id="3" xr3:uid="{A06DED1F-7374-4755-8A38-527DEBEFD3C6}" name="wins" dataDxfId="870">
      <calculatedColumnFormula>M8+M29+M50+M71+M92+M113</calculatedColumnFormula>
    </tableColumn>
    <tableColumn id="4" xr3:uid="{C56FD638-0548-4732-8F67-350D170E46E5}" name="battles-take-rate" dataDxfId="869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68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67" headerRowBorderDxfId="866" tableBorderDxfId="865" totalsRowBorderDxfId="864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63">
      <calculatedColumnFormula>L13+L34+L55+L76+L97+L118</calculatedColumnFormula>
    </tableColumn>
    <tableColumn id="3" xr3:uid="{150079D1-0272-4CFB-8282-44464105457B}" name="wins" dataDxfId="862">
      <calculatedColumnFormula>M13+M34+M55+M76+M97+M118</calculatedColumnFormula>
    </tableColumn>
    <tableColumn id="4" xr3:uid="{65FEB6D5-A05E-4FC8-B85E-99DFC519570C}" name="battles-take-rate" dataDxfId="861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60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59" headerRowBorderDxfId="858" tableBorderDxfId="857" totalsRowBorderDxfId="856">
  <autoFilter ref="A17:E20" xr:uid="{2AADA4A0-2F4A-4009-8ECF-0BECA693390C}"/>
  <tableColumns count="5">
    <tableColumn id="1" xr3:uid="{F38332B4-A633-4A53-A294-B990E53A9E9E}" name="ability" dataDxfId="855"/>
    <tableColumn id="2" xr3:uid="{A659B804-FBC0-4B86-B0D0-259516FAF254}" name="takes" dataDxfId="854">
      <calculatedColumnFormula>L18+L39+L60+L81+L102+L123</calculatedColumnFormula>
    </tableColumn>
    <tableColumn id="3" xr3:uid="{4DFB6D75-6E90-4DA5-BE74-537E8812340F}" name="wins" dataDxfId="853">
      <calculatedColumnFormula>M18+M39+M60+M81+M102+M123</calculatedColumnFormula>
    </tableColumn>
    <tableColumn id="4" xr3:uid="{D1650154-5016-46B0-8BD5-16233AA11280}" name="battles-take-rate" dataDxfId="852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51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50">
      <calculatedColumnFormula>R3+R24+R45+R66+R87+R108</calculatedColumnFormula>
    </tableColumn>
    <tableColumn id="4" xr3:uid="{5D997E40-F727-46C7-B765-00166A875EA3}" name="chestpiece" dataDxfId="849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48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47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46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45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61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60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59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44" headerRowBorderDxfId="843" tableBorderDxfId="842" totalsRowBorderDxfId="841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40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39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38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37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36" headerRowBorderDxfId="835" tableBorderDxfId="834" totalsRowBorderDxfId="833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32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31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30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29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28" headerRowBorderDxfId="827" tableBorderDxfId="826" totalsRowBorderDxfId="825">
  <autoFilter ref="K17:O20" xr:uid="{01E0B516-A92C-45D4-946B-0FCF2F31D98A}"/>
  <tableColumns count="5">
    <tableColumn id="1" xr3:uid="{B1ECB730-0F58-4ABC-942D-CAE55E41CA9A}" name="ability" dataDxfId="824"/>
    <tableColumn id="2" xr3:uid="{508F1330-F650-4934-B53E-5CF30E50850F}" name="takes" dataDxfId="823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22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21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20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19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18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17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16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15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14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13" headerRowBorderDxfId="812" tableBorderDxfId="811" totalsRowBorderDxfId="810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09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08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07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06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05" headerRowBorderDxfId="804" tableBorderDxfId="803" totalsRowBorderDxfId="802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01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00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799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798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797" headerRowBorderDxfId="796" tableBorderDxfId="795" totalsRowBorderDxfId="794">
  <autoFilter ref="K38:O41" xr:uid="{A1F38E75-59DE-4DB4-B81C-C0322397F6F7}"/>
  <tableColumns count="5">
    <tableColumn id="1" xr3:uid="{E95AEAE3-62BB-4DA7-B153-EB2086E73E57}" name="ability" dataDxfId="793"/>
    <tableColumn id="2" xr3:uid="{2A9E73B8-CD6F-4011-BAC1-63B6A821F80F}" name="takes" dataDxfId="792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791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790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789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788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787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86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85">
      <calculatedColumnFormula>COUNTIF(Scenario2[winner1-ability1],AvatarAbilities1Scenario2[[#This Row],[ability]])</calculatedColumnFormula>
    </tableColumn>
    <tableColumn id="5" xr3:uid="{1E61EB7F-DF68-4EB7-80E2-73B696E16EFA}" name="battles-take-rate" dataDxfId="784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83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58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57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56" totalsRowDxfId="1755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82" headerRowBorderDxfId="781" tableBorderDxfId="780" totalsRowBorderDxfId="779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78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77">
      <calculatedColumnFormula>COUNTIF(Scenario2[winner1-ability2],AvatarAbilities2Scenario2[[#This Row],[ability]])</calculatedColumnFormula>
    </tableColumn>
    <tableColumn id="4" xr3:uid="{C9E6BEDE-6D55-465F-A23C-088B0E5A7769}" name="battles-take-rate" dataDxfId="776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75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74" headerRowBorderDxfId="773" tableBorderDxfId="772" totalsRowBorderDxfId="771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70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69">
      <calculatedColumnFormula>COUNTIF(Scenario2[winner1-ability3],AvatarAbilities3Scenario2[[#This Row],[ability]])</calculatedColumnFormula>
    </tableColumn>
    <tableColumn id="4" xr3:uid="{ADEFFFFC-593D-4983-81AB-62FCA7D838BE}" name="battles-take-rate" dataDxfId="768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67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66" headerRowBorderDxfId="765" tableBorderDxfId="764" totalsRowBorderDxfId="763">
  <autoFilter ref="K59:O62" xr:uid="{DDB7F110-02A6-4F67-8266-251AF48CB7C0}"/>
  <tableColumns count="5">
    <tableColumn id="1" xr3:uid="{41FFE711-9BC2-4C77-93E0-ED76EFB9F1D5}" name="ability" dataDxfId="762"/>
    <tableColumn id="2" xr3:uid="{79EA1ED0-B935-47D2-A86B-D83C6704E80A}" name="takes" dataDxfId="761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60">
      <calculatedColumnFormula>COUNTIF(Scenario2[winner1-ability4],AvatarAbilities4Scenario2[[#This Row],[ability]])</calculatedColumnFormula>
    </tableColumn>
    <tableColumn id="4" xr3:uid="{02651184-3B76-4AC5-89C2-D810EC158F1B}" name="battles-take-rate" dataDxfId="759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58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57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56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55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54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53">
      <calculatedColumnFormula>COUNTIF(Scenario3[winner1-ability1],AvatarAbilities1Scenario3[[#This Row],[ability]])</calculatedColumnFormula>
    </tableColumn>
    <tableColumn id="5" xr3:uid="{DCB58979-EA4F-4103-8C4A-C096D75756ED}" name="battles-take-rate" dataDxfId="752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51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50" headerRowBorderDxfId="749" tableBorderDxfId="748" totalsRowBorderDxfId="747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46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45">
      <calculatedColumnFormula>COUNTIF(Scenario3[winner1-ability2],AvatarAbilities2Scenario3[[#This Row],[ability]])</calculatedColumnFormula>
    </tableColumn>
    <tableColumn id="4" xr3:uid="{70DDA6D0-1C36-48E6-8E20-D94EDE0BDFEA}" name="battles-take-rate" dataDxfId="744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43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42" headerRowBorderDxfId="741" tableBorderDxfId="740" totalsRowBorderDxfId="739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38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37">
      <calculatedColumnFormula>COUNTIF(Scenario3[winner1-ability3],AvatarAbilities3Scenario3[[#This Row],[ability]])</calculatedColumnFormula>
    </tableColumn>
    <tableColumn id="4" xr3:uid="{C06BD8DF-C441-459D-85EE-FD64A2043DD6}" name="battles-take-rate" dataDxfId="736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35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34" headerRowBorderDxfId="733" tableBorderDxfId="732" totalsRowBorderDxfId="731">
  <autoFilter ref="K80:O83" xr:uid="{6EEA34E6-E459-456B-91DD-043B51317E20}"/>
  <tableColumns count="5">
    <tableColumn id="1" xr3:uid="{8A349459-D27C-4E5A-A944-0E74AA4FA7B4}" name="ability" dataDxfId="730"/>
    <tableColumn id="2" xr3:uid="{D6DB89E1-6F3B-4EA4-ADC1-184D6ABA99BE}" name="takes" dataDxfId="729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28">
      <calculatedColumnFormula>COUNTIF(Scenario3[winner1-ability4],AvatarAbilities4Scenario3[[#This Row],[ability]])</calculatedColumnFormula>
    </tableColumn>
    <tableColumn id="4" xr3:uid="{8AF2EF2E-5801-460B-AD63-71BB7539AA5F}" name="battles-take-rate" dataDxfId="727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26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25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24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K9" totalsRowShown="0">
  <autoFilter ref="A1:K9" xr:uid="{63405EB0-A525-4FAC-AD12-CF7C798DE05C}"/>
  <tableColumns count="11">
    <tableColumn id="1" xr3:uid="{85B8E500-D508-49B7-B6C2-4293FF88864C}" name="hero"/>
    <tableColumn id="2" xr3:uid="{58A5592F-1F6D-4BC0-A001-DA1EE7044444}" name="battles" dataDxfId="1754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53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52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23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22">
      <calculatedColumnFormula>COUNTIF(Scenario4[winner1-ability1],AvatarAbilities1Scenario4[[#This Row],[ability]])</calculatedColumnFormula>
    </tableColumn>
    <tableColumn id="5" xr3:uid="{846FA7C9-7442-4196-AC20-39FB98DAF0BC}" name="battles-take-rate" dataDxfId="721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20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19" headerRowBorderDxfId="718" tableBorderDxfId="717" totalsRowBorderDxfId="716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15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14">
      <calculatedColumnFormula>COUNTIF(Scenario4[winner1-ability2],AvatarAbilities2Scenario4[[#This Row],[ability]])</calculatedColumnFormula>
    </tableColumn>
    <tableColumn id="4" xr3:uid="{F137D81F-3073-4FAD-9B08-809B82677FC3}" name="battles-take-rate" dataDxfId="713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12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11" headerRowBorderDxfId="710" tableBorderDxfId="709" totalsRowBorderDxfId="708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07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06">
      <calculatedColumnFormula>COUNTIF(Scenario4[winner1-ability3],AvatarAbilities3Scenario4[[#This Row],[ability]])</calculatedColumnFormula>
    </tableColumn>
    <tableColumn id="4" xr3:uid="{135BEB7A-915D-48E6-B091-0340F09F4D94}" name="battles-take-rate" dataDxfId="705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04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03" headerRowBorderDxfId="702" tableBorderDxfId="701" totalsRowBorderDxfId="700">
  <autoFilter ref="K101:O104" xr:uid="{B70B30A2-D94A-4C2F-A92C-F84D834CB3E7}"/>
  <tableColumns count="5">
    <tableColumn id="1" xr3:uid="{002E9049-8F7A-4096-964E-F4939A456F53}" name="ability" dataDxfId="699"/>
    <tableColumn id="2" xr3:uid="{8EB8EF4A-38F7-42BA-A433-E84AC27F3BE5}" name="takes" dataDxfId="698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697">
      <calculatedColumnFormula>COUNTIF(Scenario4[winner1-ability4],AvatarAbilities4Scenario4[[#This Row],[ability]])</calculatedColumnFormula>
    </tableColumn>
    <tableColumn id="4" xr3:uid="{65133FD4-CB3E-451F-9B0A-15A3A8F6140F}" name="battles-take-rate" dataDxfId="696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695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694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693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692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691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690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689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688" headerRowBorderDxfId="687" tableBorderDxfId="686" totalsRowBorderDxfId="685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84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83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82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81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80" headerRowBorderDxfId="679" tableBorderDxfId="678" totalsRowBorderDxfId="677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76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75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74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73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72" headerRowBorderDxfId="671" tableBorderDxfId="670" totalsRowBorderDxfId="669">
  <autoFilter ref="K122:O125" xr:uid="{E059746D-E675-4EF0-88F4-8791605FEEED}"/>
  <tableColumns count="5">
    <tableColumn id="1" xr3:uid="{20267F99-9DF2-489F-A0FB-268A63BB5519}" name="ability" dataDxfId="668"/>
    <tableColumn id="2" xr3:uid="{ED1C9F8E-8284-4586-BDDB-F607F38E81E8}" name="takes" dataDxfId="667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66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65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64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63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62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2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1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0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51">
      <calculatedColumnFormula>M3+M24+M45+M66+M87+M108</calculatedColumnFormula>
    </tableColumn>
    <tableColumn id="4" xr3:uid="{61A21492-49FF-4C06-A153-6F532C6C5A30}" name="wins" dataDxfId="1750">
      <calculatedColumnFormula>N3+N24+N45+N66+N87+N108</calculatedColumnFormula>
    </tableColumn>
    <tableColumn id="5" xr3:uid="{E54CF930-9561-430F-9E4C-4FBFE41AE34D}" name="battles-take-rate" dataDxfId="1749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48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61">
      <calculatedColumnFormula>L3+L24+L45+L66+L87+L108</calculatedColumnFormula>
    </tableColumn>
    <tableColumn id="4" xr3:uid="{E7594F03-C9FD-4ADD-810F-A5D3A80A11D0}" name="wins" dataDxfId="660">
      <calculatedColumnFormula>M3+M24+M45+M66+M87+M108</calculatedColumnFormula>
    </tableColumn>
    <tableColumn id="5" xr3:uid="{02A46B5D-C22D-499B-A57A-EDE540A8C147}" name="battles-take-rate" dataDxfId="659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58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57" headerRowBorderDxfId="656" tableBorderDxfId="655" totalsRowBorderDxfId="654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53">
      <calculatedColumnFormula>L8+L29+L50+L71+L92+L113</calculatedColumnFormula>
    </tableColumn>
    <tableColumn id="3" xr3:uid="{F5082C29-A973-4FDC-8C6D-DAB230FD220B}" name="wins" dataDxfId="652">
      <calculatedColumnFormula>M8+M29+M50+M71+M92+M113</calculatedColumnFormula>
    </tableColumn>
    <tableColumn id="4" xr3:uid="{955AA51C-C441-4923-93B4-21A375FB8EAB}" name="battles-take-rate" dataDxfId="651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50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49" headerRowBorderDxfId="648" tableBorderDxfId="647" totalsRowBorderDxfId="646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45">
      <calculatedColumnFormula>L13+L34+L55+L76+L97+L118</calculatedColumnFormula>
    </tableColumn>
    <tableColumn id="3" xr3:uid="{69A0AA59-1954-41A9-9184-3D9DCEC82306}" name="wins" dataDxfId="644">
      <calculatedColumnFormula>M13+M34+M55+M76+M97+M118</calculatedColumnFormula>
    </tableColumn>
    <tableColumn id="4" xr3:uid="{D2E0470C-3533-4EB8-BCB1-093B0305CFE5}" name="battles-take-rate" dataDxfId="643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42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41" headerRowBorderDxfId="640" tableBorderDxfId="639" totalsRowBorderDxfId="638">
  <autoFilter ref="A17:E20" xr:uid="{2AADA4A0-2F4A-4009-8ECF-0BECA693390C}"/>
  <tableColumns count="5">
    <tableColumn id="1" xr3:uid="{508E3F3C-793A-4D3F-8FE4-5033189433FA}" name="ability" dataDxfId="637"/>
    <tableColumn id="2" xr3:uid="{26190FBD-0D5B-4F70-AB7C-38105BD3682B}" name="takes" dataDxfId="636">
      <calculatedColumnFormula>L18+L39+L60+L81+L102+L123</calculatedColumnFormula>
    </tableColumn>
    <tableColumn id="3" xr3:uid="{6304B665-DF35-4910-8085-1B0F98C1C08E}" name="wins" dataDxfId="635">
      <calculatedColumnFormula>M18+M39+M60+M81+M102+M123</calculatedColumnFormula>
    </tableColumn>
    <tableColumn id="4" xr3:uid="{CE4233CF-2026-408F-A9F5-172CFF825DD4}" name="battles-take-rate" dataDxfId="634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33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32">
      <calculatedColumnFormula>R3+R24+R45+R66+R87+R108</calculatedColumnFormula>
    </tableColumn>
    <tableColumn id="4" xr3:uid="{066CD957-712B-40B8-9181-60B4B646F9D5}" name="chestpiece" dataDxfId="631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30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29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28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27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26" headerRowBorderDxfId="625" tableBorderDxfId="624" totalsRowBorderDxfId="623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22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21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20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19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18" headerRowBorderDxfId="617" tableBorderDxfId="616" totalsRowBorderDxfId="615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14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13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12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11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10" headerRowBorderDxfId="609" tableBorderDxfId="608" totalsRowBorderDxfId="607">
  <autoFilter ref="K17:O20" xr:uid="{01E0B516-A92C-45D4-946B-0FCF2F31D98A}"/>
  <tableColumns count="5">
    <tableColumn id="1" xr3:uid="{7A69B0E2-20CF-43A3-920A-9AE63CA4EDD6}" name="ability" dataDxfId="606"/>
    <tableColumn id="2" xr3:uid="{A0E31296-499C-405F-BCF6-B2EAB56FDACC}" name="takes" dataDxfId="605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04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03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02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01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00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47" headerRowBorderDxfId="1746" tableBorderDxfId="1745" totalsRowBorderDxfId="1744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43">
      <calculatedColumnFormula>M8+M29+M50+M71+M92+M113</calculatedColumnFormula>
    </tableColumn>
    <tableColumn id="3" xr3:uid="{80A922C6-64D8-44FE-96CB-B7E1F6FDC03C}" name="wins" dataDxfId="1742">
      <calculatedColumnFormula>N8+N29+N50+N71+N92+N113</calculatedColumnFormula>
    </tableColumn>
    <tableColumn id="4" xr3:uid="{554161FF-0726-4138-B76E-C5C63F8E633A}" name="battles-take-rate" dataDxfId="1741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40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599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598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597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596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595" headerRowBorderDxfId="594" tableBorderDxfId="593" totalsRowBorderDxfId="592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591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590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589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588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587" headerRowBorderDxfId="586" tableBorderDxfId="585" totalsRowBorderDxfId="584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83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82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81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80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79" headerRowBorderDxfId="578" tableBorderDxfId="577" totalsRowBorderDxfId="576">
  <autoFilter ref="K38:O41" xr:uid="{A1F38E75-59DE-4DB4-B81C-C0322397F6F7}"/>
  <tableColumns count="5">
    <tableColumn id="1" xr3:uid="{B95A8C1F-E83A-4A7B-ACAE-F997D171F354}" name="ability" dataDxfId="575"/>
    <tableColumn id="2" xr3:uid="{B5A87322-37A1-488C-B6C2-23B9D65EEB08}" name="takes" dataDxfId="574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73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72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71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70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69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68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67">
      <calculatedColumnFormula>COUNTIF(Scenario2[winner1-ability1],ShadowAbilities1Scenario2[[#This Row],[ability]])</calculatedColumnFormula>
    </tableColumn>
    <tableColumn id="5" xr3:uid="{AE0DC280-6579-4B86-B8B4-CDC9AF90EDBE}" name="battles-take-rate" dataDxfId="566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65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64" headerRowBorderDxfId="563" tableBorderDxfId="562" totalsRowBorderDxfId="561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60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59">
      <calculatedColumnFormula>COUNTIF(Scenario2[winner1-ability2],ShadowAbilities2Scenario2[[#This Row],[ability]])</calculatedColumnFormula>
    </tableColumn>
    <tableColumn id="4" xr3:uid="{348088A2-AD3A-435D-AAD6-1030EDC81266}" name="battles-take-rate" dataDxfId="558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57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56" headerRowBorderDxfId="555" tableBorderDxfId="554" totalsRowBorderDxfId="553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52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51">
      <calculatedColumnFormula>COUNTIF(Scenario2[winner1-ability3],ShadowAbilities3Scenario2[[#This Row],[ability]])</calculatedColumnFormula>
    </tableColumn>
    <tableColumn id="4" xr3:uid="{B6BC679A-540A-46F8-8039-4C37B6F8FAD6}" name="battles-take-rate" dataDxfId="550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49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48" headerRowBorderDxfId="547" tableBorderDxfId="546" totalsRowBorderDxfId="545">
  <autoFilter ref="K59:O62" xr:uid="{DDB7F110-02A6-4F67-8266-251AF48CB7C0}"/>
  <tableColumns count="5">
    <tableColumn id="1" xr3:uid="{808C7394-83C0-4054-AFB9-9F9E1965E6DC}" name="ability" dataDxfId="544"/>
    <tableColumn id="2" xr3:uid="{A8117EB0-F8AE-4362-841F-EBC31BDC80E7}" name="takes" dataDxfId="543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42">
      <calculatedColumnFormula>COUNTIF(Scenario2[winner1-ability4],ShadowAbilities4Scenario2[[#This Row],[ability]])</calculatedColumnFormula>
    </tableColumn>
    <tableColumn id="4" xr3:uid="{D18D0446-17DA-4367-8791-04B929BF7C7E}" name="battles-take-rate" dataDxfId="541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40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39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38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39" headerRowBorderDxfId="1738" tableBorderDxfId="1737" totalsRowBorderDxfId="1736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35">
      <calculatedColumnFormula>M13+M34+M55+M76+M97+M118</calculatedColumnFormula>
    </tableColumn>
    <tableColumn id="3" xr3:uid="{3EE75CB9-F097-4DDD-B43D-5E1FA49D5DA7}" name="wins" dataDxfId="1734">
      <calculatedColumnFormula>N13+N34+N55+N76+N97+N118</calculatedColumnFormula>
    </tableColumn>
    <tableColumn id="4" xr3:uid="{4386EDC2-3695-4FDE-BF81-4F581D693BFE}" name="battles-take-rate" dataDxfId="1733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32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37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36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35">
      <calculatedColumnFormula>COUNTIF(Scenario3[winner1-ability1],ShadowAbilities1Scenario3[[#This Row],[ability]])</calculatedColumnFormula>
    </tableColumn>
    <tableColumn id="5" xr3:uid="{CF3E5CA9-0667-4428-A210-89117623418E}" name="battles-take-rate" dataDxfId="534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33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32" headerRowBorderDxfId="531" tableBorderDxfId="530" totalsRowBorderDxfId="529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28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27">
      <calculatedColumnFormula>COUNTIF(Scenario3[winner1-ability2],ShadowAbilities2Scenario3[[#This Row],[ability]])</calculatedColumnFormula>
    </tableColumn>
    <tableColumn id="4" xr3:uid="{F55503FB-455E-4E35-B348-DB7A213DC482}" name="battles-take-rate" dataDxfId="526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25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24" headerRowBorderDxfId="523" tableBorderDxfId="522" totalsRowBorderDxfId="521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20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19">
      <calculatedColumnFormula>COUNTIF(Scenario3[winner1-ability3],ShadowAbilities3Scenario3[[#This Row],[ability]])</calculatedColumnFormula>
    </tableColumn>
    <tableColumn id="4" xr3:uid="{FE627B80-B071-44ED-96E3-2D22A6BFBE3E}" name="battles-take-rate" dataDxfId="518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17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16" headerRowBorderDxfId="515" tableBorderDxfId="514" totalsRowBorderDxfId="513">
  <autoFilter ref="K80:O83" xr:uid="{89998BA8-FF2B-4F78-B422-0769B096DA12}"/>
  <tableColumns count="5">
    <tableColumn id="1" xr3:uid="{9E2ED936-C92E-4DB6-8A8D-6A5D54890827}" name="ability" dataDxfId="512"/>
    <tableColumn id="2" xr3:uid="{30C20F36-9263-41F1-934F-C7B737783080}" name="takes" dataDxfId="511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10">
      <calculatedColumnFormula>COUNTIF(Scenario3[winner1-ability4],ShadowAbilities4Scenario3[[#This Row],[ability]])</calculatedColumnFormula>
    </tableColumn>
    <tableColumn id="4" xr3:uid="{C78891C3-5CB5-4131-9173-2B27B1A4D302}" name="battles-take-rate" dataDxfId="509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08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07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06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05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04">
      <calculatedColumnFormula>COUNTIF(Scenario4[winner1-ability1],ShadowAbilities1Scenario4[[#This Row],[ability]])</calculatedColumnFormula>
    </tableColumn>
    <tableColumn id="5" xr3:uid="{A901B921-06E8-4AEC-A96B-C713A120EDCD}" name="battles-take-rate" dataDxfId="503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02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01" headerRowBorderDxfId="500" tableBorderDxfId="499" totalsRowBorderDxfId="498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497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496">
      <calculatedColumnFormula>COUNTIF(Scenario4[winner1-ability2],ShadowAbilities2Scenario4[[#This Row],[ability]])</calculatedColumnFormula>
    </tableColumn>
    <tableColumn id="4" xr3:uid="{9729481F-2A5B-4AB2-B539-4C8B0BB903C3}" name="battles-take-rate" dataDxfId="495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494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493" headerRowBorderDxfId="492" tableBorderDxfId="491" totalsRowBorderDxfId="490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489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488">
      <calculatedColumnFormula>COUNTIF(Scenario4[winner1-ability3],ShadowAbilities3Scenario4[[#This Row],[ability]])</calculatedColumnFormula>
    </tableColumn>
    <tableColumn id="4" xr3:uid="{2B28F9B7-A49E-4828-AED2-A5F9D1DB620A}" name="battles-take-rate" dataDxfId="487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86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85" headerRowBorderDxfId="484" tableBorderDxfId="483" totalsRowBorderDxfId="482">
  <autoFilter ref="K101:O104" xr:uid="{1C609518-452E-4A91-AF17-394CB05FB0F3}"/>
  <tableColumns count="5">
    <tableColumn id="1" xr3:uid="{CC33268F-C34A-43D0-A56A-74B0F609F718}" name="ability" dataDxfId="481"/>
    <tableColumn id="2" xr3:uid="{6F12010D-206B-4AD4-9F1C-7792709F1041}" name="takes" dataDxfId="480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79">
      <calculatedColumnFormula>COUNTIF(Scenario4[winner1-ability4],ShadowAbilities4Scenario4[[#This Row],[ability]])</calculatedColumnFormula>
    </tableColumn>
    <tableColumn id="4" xr3:uid="{1F1D8ECE-DB99-4E3C-A674-360B53ED1293}" name="battles-take-rate" dataDxfId="478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77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31" headerRowBorderDxfId="1730" tableBorderDxfId="1729" totalsRowBorderDxfId="1728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27">
      <calculatedColumnFormula>M18+M39+M60+M81+M102+M123</calculatedColumnFormula>
    </tableColumn>
    <tableColumn id="3" xr3:uid="{FCDACB04-C3C9-4451-9344-563AAD645EE3}" name="wins" dataDxfId="1726">
      <calculatedColumnFormula>N18+N39+N60+N81+N102+N123</calculatedColumnFormula>
    </tableColumn>
    <tableColumn id="4" xr3:uid="{A43A8590-7A57-4069-B1B8-09F7A5FC26AC}" name="battles-take-rate" dataDxfId="1725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24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76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75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74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73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72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71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70" headerRowBorderDxfId="469" tableBorderDxfId="468" totalsRowBorderDxfId="467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66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65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64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63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62" headerRowBorderDxfId="461" tableBorderDxfId="460" totalsRowBorderDxfId="459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58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57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56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55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54" headerRowBorderDxfId="453" tableBorderDxfId="452" totalsRowBorderDxfId="451">
  <autoFilter ref="K122:O125" xr:uid="{74C00B1E-EEA9-48AB-A27C-B009AE4D0A5D}"/>
  <tableColumns count="5">
    <tableColumn id="1" xr3:uid="{0AB4169E-2A81-436A-8816-892597836570}" name="ability" dataDxfId="450"/>
    <tableColumn id="2" xr3:uid="{63FA27CA-DCA1-4F45-8BB0-FAAEBF52C2E6}" name="takes" dataDxfId="449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48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47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46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45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44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43">
      <calculatedColumnFormula>L3+L24+L45+L66+L87+L108</calculatedColumnFormula>
    </tableColumn>
    <tableColumn id="4" xr3:uid="{58CA11D9-169A-46E2-9A57-9E370495AE74}" name="wins" dataDxfId="442">
      <calculatedColumnFormula>M3+M24+M45+M66+M87+M108</calculatedColumnFormula>
    </tableColumn>
    <tableColumn id="5" xr3:uid="{FCD1957D-8B13-463F-918E-7541CD4802BE}" name="battles-take-rate" dataDxfId="441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40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39" headerRowBorderDxfId="438" tableBorderDxfId="437" totalsRowBorderDxfId="436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35">
      <calculatedColumnFormula>L8+L29+L50+L71+L92+L113</calculatedColumnFormula>
    </tableColumn>
    <tableColumn id="3" xr3:uid="{8036E5FE-9DB3-44E7-AF19-651F4FEED3A5}" name="wins" dataDxfId="434">
      <calculatedColumnFormula>M8+M29+M50+M71+M92+M113</calculatedColumnFormula>
    </tableColumn>
    <tableColumn id="4" xr3:uid="{F340980B-9818-44CD-839E-1CE580EFB60A}" name="battles-take-rate" dataDxfId="433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32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31" headerRowBorderDxfId="430" tableBorderDxfId="429" totalsRowBorderDxfId="428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27">
      <calculatedColumnFormula>L13+L34+L55+L76+L97+L118</calculatedColumnFormula>
    </tableColumn>
    <tableColumn id="3" xr3:uid="{C75B917B-4ECC-4DD1-9024-BE6CDFC7ADF6}" name="wins" dataDxfId="426">
      <calculatedColumnFormula>M13+M34+M55+M76+M97+M118</calculatedColumnFormula>
    </tableColumn>
    <tableColumn id="4" xr3:uid="{33AA1918-8E3F-4AE7-B461-1D2AFB04069A}" name="battles-take-rate" dataDxfId="425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24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23" headerRowBorderDxfId="422" tableBorderDxfId="421" totalsRowBorderDxfId="420">
  <autoFilter ref="A17:E20" xr:uid="{2AADA4A0-2F4A-4009-8ECF-0BECA693390C}"/>
  <tableColumns count="5">
    <tableColumn id="1" xr3:uid="{0F824B32-1B2D-4DB9-A0E4-042F6AAA65D0}" name="ability" dataDxfId="419"/>
    <tableColumn id="2" xr3:uid="{C861246F-E022-49C0-BFAD-6CD3013B0246}" name="takes" dataDxfId="418">
      <calculatedColumnFormula>L18+L39+L60+L81+L102+L123</calculatedColumnFormula>
    </tableColumn>
    <tableColumn id="3" xr3:uid="{3FA0E70F-04C8-4FC4-898C-79D0A5C6E6C3}" name="wins" dataDxfId="417">
      <calculatedColumnFormula>M18+M39+M60+M81+M102+M123</calculatedColumnFormula>
    </tableColumn>
    <tableColumn id="4" xr3:uid="{047E06AD-872B-4FB4-9AB8-8B8E2717658B}" name="battles-take-rate" dataDxfId="416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15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23">
      <calculatedColumnFormula>S3+S24+S45+S66+S87+S108</calculatedColumnFormula>
    </tableColumn>
    <tableColumn id="3" xr3:uid="{F4CFC04E-00E1-447E-954B-909DEBE33E7C}" name="shield" dataDxfId="1722">
      <calculatedColumnFormula>T3+T24+T45+T66+T87+T108</calculatedColumnFormula>
    </tableColumn>
    <tableColumn id="4" xr3:uid="{3051F8DD-C458-45A9-A22A-CA5DF4CE7313}" name="chestpiece" dataDxfId="1721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14">
      <calculatedColumnFormula>R3+R24+R45+R66+R87+R108</calculatedColumnFormula>
    </tableColumn>
    <tableColumn id="4" xr3:uid="{F2CC5FCF-C346-4903-B131-24F9A7A7ADC9}" name="chestpiece" dataDxfId="41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12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11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10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09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08" headerRowBorderDxfId="407" tableBorderDxfId="406" totalsRowBorderDxfId="405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04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03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02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01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00" headerRowBorderDxfId="399" tableBorderDxfId="398" totalsRowBorderDxfId="397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396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395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394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393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392" headerRowBorderDxfId="391" tableBorderDxfId="390" totalsRowBorderDxfId="389">
  <autoFilter ref="K17:O20" xr:uid="{01E0B516-A92C-45D4-946B-0FCF2F31D98A}"/>
  <tableColumns count="5">
    <tableColumn id="1" xr3:uid="{95251227-5274-48FA-A791-C1AC52DA6F2E}" name="ability" dataDxfId="388"/>
    <tableColumn id="2" xr3:uid="{B7211C4B-8C9B-4B1A-B9B4-26E32C837D31}" name="takes" dataDxfId="387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86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85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84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83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82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81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80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79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78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77" headerRowBorderDxfId="376" tableBorderDxfId="375" totalsRowBorderDxfId="374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73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72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71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70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69" headerRowBorderDxfId="368" tableBorderDxfId="367" totalsRowBorderDxfId="366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65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64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63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62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61" headerRowBorderDxfId="360" tableBorderDxfId="359" totalsRowBorderDxfId="358">
  <autoFilter ref="K38:O41" xr:uid="{A1F38E75-59DE-4DB4-B81C-C0322397F6F7}"/>
  <tableColumns count="5">
    <tableColumn id="1" xr3:uid="{D120DB3D-0A5D-420D-9741-6F25B01853C8}" name="ability" dataDxfId="357"/>
    <tableColumn id="2" xr3:uid="{917AA9FD-5BE5-479F-8517-062A9D4A84E5}" name="takes" dataDxfId="356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55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54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53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20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19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18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17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52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51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50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49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48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47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46" headerRowBorderDxfId="345" tableBorderDxfId="344" totalsRowBorderDxfId="343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42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41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40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39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38" headerRowBorderDxfId="337" tableBorderDxfId="336" totalsRowBorderDxfId="335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34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33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32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31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30" headerRowBorderDxfId="329" tableBorderDxfId="328" totalsRowBorderDxfId="327">
  <autoFilter ref="K59:O62" xr:uid="{DDB7F110-02A6-4F67-8266-251AF48CB7C0}"/>
  <tableColumns count="5">
    <tableColumn id="1" xr3:uid="{10AC8AF3-38AA-4A13-B22D-4BB6F815DE68}" name="ability" dataDxfId="326"/>
    <tableColumn id="2" xr3:uid="{71D3D958-AF17-4056-8501-6475CD621FEA}" name="takes" dataDxfId="325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24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23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22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21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20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19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18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17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16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15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14" headerRowBorderDxfId="313" tableBorderDxfId="312" totalsRowBorderDxfId="311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10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09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08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07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06" headerRowBorderDxfId="305" tableBorderDxfId="304" totalsRowBorderDxfId="303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02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01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00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299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16" headerRowBorderDxfId="1715" tableBorderDxfId="1714" totalsRowBorderDxfId="1713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12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11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10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09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298" headerRowBorderDxfId="297" tableBorderDxfId="296" totalsRowBorderDxfId="295">
  <autoFilter ref="K80:O83" xr:uid="{F49F780C-91EA-4137-817A-655CE8B0C91F}"/>
  <tableColumns count="5">
    <tableColumn id="1" xr3:uid="{138AE503-6600-46A3-BBD7-4F7DDB8524ED}" name="ability" dataDxfId="294"/>
    <tableColumn id="2" xr3:uid="{38FBAF79-85EE-4F74-89FD-CD7FAD9E38AA}" name="takes" dataDxfId="293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292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291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290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289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288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287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86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85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84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83" headerRowBorderDxfId="282" tableBorderDxfId="281" totalsRowBorderDxfId="280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79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78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77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76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75" headerRowBorderDxfId="274" tableBorderDxfId="273" totalsRowBorderDxfId="272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71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70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69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68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67" headerRowBorderDxfId="266" tableBorderDxfId="265" totalsRowBorderDxfId="264">
  <autoFilter ref="K101:O104" xr:uid="{C6F46D23-B1D4-4713-9D97-360EE74CE1F5}"/>
  <tableColumns count="5">
    <tableColumn id="1" xr3:uid="{B3B7DCCA-7B08-4F79-AC94-5F36F2CC9893}" name="ability" dataDxfId="263"/>
    <tableColumn id="2" xr3:uid="{72F61BD1-75B1-4082-BCF0-F09B0A4179AF}" name="takes" dataDxfId="262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61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60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59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58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57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56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55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54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53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52" headerRowBorderDxfId="251" tableBorderDxfId="250" totalsRowBorderDxfId="249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48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47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46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45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44" headerRowBorderDxfId="243" tableBorderDxfId="242" totalsRowBorderDxfId="241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40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39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38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37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08" headerRowBorderDxfId="1707" tableBorderDxfId="1706" totalsRowBorderDxfId="1705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04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03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02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01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36" headerRowBorderDxfId="235" tableBorderDxfId="234" totalsRowBorderDxfId="233">
  <autoFilter ref="K122:O125" xr:uid="{1A744E4A-3571-459A-BF22-53EBC8CB38DE}"/>
  <tableColumns count="5">
    <tableColumn id="1" xr3:uid="{979953D5-0824-493D-B92F-3E4881005717}" name="ability" dataDxfId="232"/>
    <tableColumn id="2" xr3:uid="{4ED6C1EE-CA65-44BD-8EB5-9DEE908DECE5}" name="takes" dataDxfId="231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30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29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28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27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26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25">
      <calculatedColumnFormula>M3+M24+M45+M66+M87+M108</calculatedColumnFormula>
    </tableColumn>
    <tableColumn id="4" xr3:uid="{CDAB9E23-22AA-4C01-8C82-A6CA62B02527}" name="wins" dataDxfId="224">
      <calculatedColumnFormula>N3+N24+N45+N66+N87+N108</calculatedColumnFormula>
    </tableColumn>
    <tableColumn id="5" xr3:uid="{10E225D8-ED8B-4DEA-B697-D56C9AC10EDE}" name="battles-take-rate" dataDxfId="223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22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21" headerRowBorderDxfId="220" tableBorderDxfId="219" totalsRowBorderDxfId="218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17">
      <calculatedColumnFormula>M8+M29+M50+M71+M92+M113</calculatedColumnFormula>
    </tableColumn>
    <tableColumn id="3" xr3:uid="{B90DED9A-FB36-4010-A0F2-A4F4295C587D}" name="wins" dataDxfId="216">
      <calculatedColumnFormula>N8+N29+N50+N71+N92+N113</calculatedColumnFormula>
    </tableColumn>
    <tableColumn id="4" xr3:uid="{BE0E10ED-A980-43A5-9BDF-619C73B41AFB}" name="battles-take-rate" dataDxfId="215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14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13" headerRowBorderDxfId="212" tableBorderDxfId="211" totalsRowBorderDxfId="210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09">
      <calculatedColumnFormula>M13+M34+M55+M76+M97+M118</calculatedColumnFormula>
    </tableColumn>
    <tableColumn id="3" xr3:uid="{4F19BEBF-12CE-4B6C-A863-4DF3FEA28027}" name="wins" dataDxfId="208">
      <calculatedColumnFormula>N13+N34+N55+N76+N97+N118</calculatedColumnFormula>
    </tableColumn>
    <tableColumn id="4" xr3:uid="{797719FB-C470-4B00-B35C-54DF472BB4A2}" name="battles-take-rate" dataDxfId="207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06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05" headerRowBorderDxfId="204" tableBorderDxfId="203" totalsRowBorderDxfId="202">
  <autoFilter ref="A17:E20" xr:uid="{2AADA4A0-2F4A-4009-8ECF-0BECA693390C}"/>
  <tableColumns count="5">
    <tableColumn id="1" xr3:uid="{797653A4-EDCA-4C4D-A3D4-CD6135488CE9}" name="ability" dataDxfId="201"/>
    <tableColumn id="2" xr3:uid="{9958885A-546E-4B41-BF74-36A6885A316D}" name="takes" dataDxfId="200">
      <calculatedColumnFormula>M18+M39+M60+M81+M102+M123</calculatedColumnFormula>
    </tableColumn>
    <tableColumn id="3" xr3:uid="{F49FD5D1-7963-494A-BE27-74BE85A96B9D}" name="wins" dataDxfId="199">
      <calculatedColumnFormula>N18+N39+N60+N81+N102+N123</calculatedColumnFormula>
    </tableColumn>
    <tableColumn id="4" xr3:uid="{F7EC00D3-61D4-46E7-BE58-31BDB9ED271A}" name="battles-take-rate" dataDxfId="198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197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196">
      <calculatedColumnFormula>S3+S24+S45+S66+S87+S108</calculatedColumnFormula>
    </tableColumn>
    <tableColumn id="3" xr3:uid="{39E8DCAE-D493-4A26-A9B3-9996C564CEE7}" name="blade" dataDxfId="195">
      <calculatedColumnFormula>T3+T24+T45+T66+T87+T108</calculatedColumnFormula>
    </tableColumn>
    <tableColumn id="4" xr3:uid="{F082B021-59DE-4852-B1B3-0AA25C478097}" name="chestpiece" dataDxfId="19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193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192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191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190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189" headerRowBorderDxfId="188" tableBorderDxfId="187" totalsRowBorderDxfId="186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85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84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83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82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81" headerRowBorderDxfId="180" tableBorderDxfId="179" totalsRowBorderDxfId="178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77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76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75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74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00" headerRowBorderDxfId="1699" tableBorderDxfId="1698" totalsRowBorderDxfId="1697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696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695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694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693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73" headerRowBorderDxfId="172" tableBorderDxfId="171" totalsRowBorderDxfId="170">
  <autoFilter ref="L17:P20" xr:uid="{01E0B516-A92C-45D4-946B-0FCF2F31D98A}"/>
  <tableColumns count="5">
    <tableColumn id="1" xr3:uid="{E980F6C0-E93A-4FFA-8E1B-7186BE3B4D2B}" name="ability" dataDxfId="169"/>
    <tableColumn id="2" xr3:uid="{387091C3-7426-4F2A-A753-72A1D81097AE}" name="takes" dataDxfId="168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67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66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65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64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63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62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61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60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59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58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57" headerRowBorderDxfId="156" tableBorderDxfId="155" totalsRowBorderDxfId="154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53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52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51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50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49" headerRowBorderDxfId="148" tableBorderDxfId="147" totalsRowBorderDxfId="146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45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44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43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42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41" headerRowBorderDxfId="140" tableBorderDxfId="139" totalsRowBorderDxfId="138">
  <autoFilter ref="L38:P41" xr:uid="{A1F38E75-59DE-4DB4-B81C-C0322397F6F7}"/>
  <tableColumns count="5">
    <tableColumn id="1" xr3:uid="{B108F2DF-4A32-4ECF-B16B-02A49181826D}" name="ability" dataDxfId="137"/>
    <tableColumn id="2" xr3:uid="{A47622D9-162B-4188-B077-F04987EF9266}" name="takes" dataDxfId="136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35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34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33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32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31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30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29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28">
      <calculatedColumnFormula>COUNTIF(Scenario2[winner1-ability1],AvengerAbilities1Scenario2[[#This Row],[ability]])</calculatedColumnFormula>
    </tableColumn>
    <tableColumn id="5" xr3:uid="{9DB36862-AC92-48F0-8B86-87B94516CEAF}" name="battles-take-rate" dataDxfId="127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26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25" headerRowBorderDxfId="124" tableBorderDxfId="123" totalsRowBorderDxfId="122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21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20">
      <calculatedColumnFormula>COUNTIF(Scenario2[winner1-ability2],AvengerAbilities2Scenario2[[#This Row],[ability]])</calculatedColumnFormula>
    </tableColumn>
    <tableColumn id="4" xr3:uid="{16676FDF-F72D-4A46-9456-4F4E86ACEDE3}" name="battles-take-rate" dataDxfId="119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18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17" headerRowBorderDxfId="116" tableBorderDxfId="115" totalsRowBorderDxfId="114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13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12">
      <calculatedColumnFormula>COUNTIF(Scenario2[winner1-ability3],AvengerAbilities3Scenario2[[#This Row],[ability]])</calculatedColumnFormula>
    </tableColumn>
    <tableColumn id="4" xr3:uid="{6EA1CE83-F097-4979-BAF4-5E5DD321C889}" name="battles-take-rate" dataDxfId="111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10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692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691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690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09" headerRowBorderDxfId="108" tableBorderDxfId="107" totalsRowBorderDxfId="106">
  <autoFilter ref="L59:P62" xr:uid="{DDB7F110-02A6-4F67-8266-251AF48CB7C0}"/>
  <tableColumns count="5">
    <tableColumn id="1" xr3:uid="{0228B3A4-F54D-4604-AAB4-26F241807E53}" name="ability" dataDxfId="105"/>
    <tableColumn id="2" xr3:uid="{BE2ED41F-9201-4A8E-B960-2268FAC34946}" name="takes" dataDxfId="104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03">
      <calculatedColumnFormula>COUNTIF(Scenario2[winner1-ability4],AvengerAbilities4Scenario2[[#This Row],[ability]])</calculatedColumnFormula>
    </tableColumn>
    <tableColumn id="4" xr3:uid="{5D2EF02F-DEB6-4E46-A7E5-3F277ED38E6B}" name="battles-take-rate" dataDxfId="102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01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00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99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98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97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96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95">
      <calculatedColumnFormula>COUNTIF(Scenario3[winner1-ability1],AvengerAbilities1Scenario3[[#This Row],[ability]])</calculatedColumnFormula>
    </tableColumn>
    <tableColumn id="5" xr3:uid="{925E1B42-8A3A-40EE-9A46-817810CDD8FB}" name="battles-take-rate" dataDxfId="94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93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92" headerRowBorderDxfId="91" tableBorderDxfId="90" totalsRowBorderDxfId="89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88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87">
      <calculatedColumnFormula>COUNTIF(Scenario3[winner1-ability2],AvengerAbilities2Scenario3[[#This Row],[ability]])</calculatedColumnFormula>
    </tableColumn>
    <tableColumn id="4" xr3:uid="{DA0323F7-D766-4C91-9345-7103E5B2B2FA}" name="battles-take-rate" dataDxfId="86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85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84" headerRowBorderDxfId="83" tableBorderDxfId="82" totalsRowBorderDxfId="81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80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79">
      <calculatedColumnFormula>COUNTIF(Scenario3[winner1-ability3],AvengerAbilities3Scenario3[[#This Row],[ability]])</calculatedColumnFormula>
    </tableColumn>
    <tableColumn id="4" xr3:uid="{DC30695C-AE61-4301-A803-CC651376959D}" name="battles-take-rate" dataDxfId="78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77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76" headerRowBorderDxfId="75" tableBorderDxfId="74" totalsRowBorderDxfId="73">
  <autoFilter ref="L80:P83" xr:uid="{DFBA6C76-2A45-4005-8A4B-B62B537356D5}"/>
  <tableColumns count="5">
    <tableColumn id="1" xr3:uid="{8C137A68-6D0C-49C3-8547-6CB48E7F2480}" name="ability" dataDxfId="72"/>
    <tableColumn id="2" xr3:uid="{BD1DED06-4C3E-47DC-8BD0-68CA34A1DA7A}" name="takes" dataDxfId="71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70">
      <calculatedColumnFormula>COUNTIF(Scenario3[winner1-ability4],AvengerAbilities4Scenario3[[#This Row],[ability]])</calculatedColumnFormula>
    </tableColumn>
    <tableColumn id="4" xr3:uid="{B8548539-0603-48EF-9DA8-3DCC5CD89D09}" name="battles-take-rate" dataDxfId="69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68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67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66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65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64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63">
      <calculatedColumnFormula>COUNTIF(Scenario4[winner1-ability1],AvengerAbilities1Scenario4[[#This Row],[ability]])</calculatedColumnFormula>
    </tableColumn>
    <tableColumn id="5" xr3:uid="{2B01D9E4-5C78-4A53-A8EA-8D87E0149485}" name="battles-take-rate" dataDxfId="62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61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60" headerRowBorderDxfId="59" tableBorderDxfId="58" totalsRowBorderDxfId="57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56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55">
      <calculatedColumnFormula>COUNTIF(Scenario4[winner1-ability2],AvengerAbilities2Scenario4[[#This Row],[ability]])</calculatedColumnFormula>
    </tableColumn>
    <tableColumn id="4" xr3:uid="{0CB5E9F8-1096-4C85-BE7F-5AA7B8C01603}" name="battles-take-rate" dataDxfId="54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53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09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8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7" totalsRowDxfId="1806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689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688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687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86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52" headerRowBorderDxfId="51" tableBorderDxfId="50" totalsRowBorderDxfId="49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48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47">
      <calculatedColumnFormula>COUNTIF(Scenario4[winner1-ability3],AvengerAbilities3Scenario4[[#This Row],[ability]])</calculatedColumnFormula>
    </tableColumn>
    <tableColumn id="4" xr3:uid="{C7BFDFBD-FC68-477D-8FFA-2D300E1AA89D}" name="battles-take-rate" dataDxfId="46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45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44" headerRowBorderDxfId="43" tableBorderDxfId="42" totalsRowBorderDxfId="41">
  <autoFilter ref="L101:P104" xr:uid="{E0C2D5AA-63BE-4431-96B6-ED61F1B43B2C}"/>
  <tableColumns count="5">
    <tableColumn id="1" xr3:uid="{69A79FA2-C7FA-4C00-84A3-F37C8FA60546}" name="ability" dataDxfId="40"/>
    <tableColumn id="2" xr3:uid="{E2E7B263-F388-4826-AF29-E7140D39D1AF}" name="takes" dataDxfId="39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38">
      <calculatedColumnFormula>COUNTIF(Scenario4[winner1-ability4],AvengerAbilities4Scenario4[[#This Row],[ability]])</calculatedColumnFormula>
    </tableColumn>
    <tableColumn id="4" xr3:uid="{4AF24253-BE96-42B9-8264-BF3FCEE7A29E}" name="battles-take-rate" dataDxfId="37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36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35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34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33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32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31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30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9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8" headerRowBorderDxfId="27" tableBorderDxfId="26" totalsRowBorderDxfId="25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4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3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2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1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20" headerRowBorderDxfId="19" tableBorderDxfId="18" totalsRowBorderDxfId="17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16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15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14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13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12" headerRowBorderDxfId="11" tableBorderDxfId="10" totalsRowBorderDxfId="9">
  <autoFilter ref="L122:P125" xr:uid="{F160D1D4-E2CA-4D0C-84EC-AA2A7E301211}"/>
  <tableColumns count="5">
    <tableColumn id="1" xr3:uid="{F60168F8-23AE-4CFB-A091-D964CDF9CCBB}" name="ability" dataDxfId="8"/>
    <tableColumn id="2" xr3:uid="{3A51F650-A9B5-4C31-8F09-AC78E854A77D}" name="takes" dataDxfId="7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6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5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4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3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2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85" headerRowBorderDxfId="1684" tableBorderDxfId="1683" totalsRowBorderDxfId="1682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81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80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79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78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77" headerRowBorderDxfId="1676" tableBorderDxfId="1675" totalsRowBorderDxfId="1674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73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72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71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70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69" headerRowBorderDxfId="1668" tableBorderDxfId="1667" totalsRowBorderDxfId="1666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65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64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63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62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61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60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59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58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57">
      <calculatedColumnFormula>COUNTIF(Scenario2[winner1-ability1],ParagonAbilities1Scenario2[[#This Row],[ability]])</calculatedColumnFormula>
    </tableColumn>
    <tableColumn id="5" xr3:uid="{B6F725F9-59F1-4BBC-88E3-95CB9FA3D9B4}" name="battles-take-rate" dataDxfId="1656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55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54" headerRowBorderDxfId="1653" tableBorderDxfId="1652" totalsRowBorderDxfId="1651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50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49">
      <calculatedColumnFormula>COUNTIF(Scenario2[winner1-ability2],ParagonAbilities2Scenario2[[#This Row],[ability]])</calculatedColumnFormula>
    </tableColumn>
    <tableColumn id="4" xr3:uid="{E051F2C9-AD26-4F86-BA73-06F989437A9B}" name="battles-take-rate" dataDxfId="1648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47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46" headerRowBorderDxfId="1645" tableBorderDxfId="1644" totalsRowBorderDxfId="1643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42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41">
      <calculatedColumnFormula>COUNTIF(Scenario2[winner1-ability3],ParagonAbilities3Scenario2[[#This Row],[ability]])</calculatedColumnFormula>
    </tableColumn>
    <tableColumn id="4" xr3:uid="{A7CC83B2-A2E6-4450-9696-B55D92586553}" name="battles-take-rate" dataDxfId="1640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39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38" headerRowBorderDxfId="1637" tableBorderDxfId="1636" totalsRowBorderDxfId="1635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34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33">
      <calculatedColumnFormula>COUNTIF(Scenario2[winner1-ability4],ParagonAbilities4Scenario2[[#This Row],[ability]])</calculatedColumnFormula>
    </tableColumn>
    <tableColumn id="4" xr3:uid="{CA8861D8-C4EC-4F7B-8C03-8907F286C5FD}" name="battles-take-rate" dataDxfId="1632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31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30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29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28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" totalsRowShown="0">
  <autoFilter ref="A1:AJ2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27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26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25">
      <calculatedColumnFormula>COUNTIF(Scenario3[winner1-ability1],ParagonAbilities1Scenario3[[#This Row],[ability]])</calculatedColumnFormula>
    </tableColumn>
    <tableColumn id="5" xr3:uid="{BF58455F-D839-40A6-B834-044CCA3A9D62}" name="battles-take-rate" dataDxfId="1624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23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22" headerRowBorderDxfId="1621" tableBorderDxfId="1620" totalsRowBorderDxfId="1619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18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17">
      <calculatedColumnFormula>COUNTIF(Scenario3[winner1-ability2],ParagonAbilities2Scenario3[[#This Row],[ability]])</calculatedColumnFormula>
    </tableColumn>
    <tableColumn id="4" xr3:uid="{A47A03CE-64B7-48DE-84FE-4869BB655C1E}" name="battles-take-rate" dataDxfId="1616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15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14" headerRowBorderDxfId="1613" tableBorderDxfId="1612" totalsRowBorderDxfId="1611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10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09">
      <calculatedColumnFormula>COUNTIF(Scenario3[winner1-ability3],ParagonAbilities3Scenario3[[#This Row],[ability]])</calculatedColumnFormula>
    </tableColumn>
    <tableColumn id="4" xr3:uid="{6962BF6D-C2E4-4653-B2E5-14FA4D687B66}" name="battles-take-rate" dataDxfId="1608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07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06" headerRowBorderDxfId="1605" tableBorderDxfId="1604" totalsRowBorderDxfId="1603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02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01">
      <calculatedColumnFormula>COUNTIF(Scenario3[winner1-ability4],ParagonAbilities4Scenario3[[#This Row],[ability]])</calculatedColumnFormula>
    </tableColumn>
    <tableColumn id="4" xr3:uid="{5564EF3F-A1E6-47F3-9245-63CBC8BF13EA}" name="battles-take-rate" dataDxfId="1600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599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598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597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596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595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594">
      <calculatedColumnFormula>COUNTIF(Scenario4[winner1-ability1],ParagonAbilities1Scenario4[[#This Row],[ability]])</calculatedColumnFormula>
    </tableColumn>
    <tableColumn id="5" xr3:uid="{A3A712DA-79C2-4E0A-B45F-24046DDDC055}" name="battles-take-rate" dataDxfId="1593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592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591" headerRowBorderDxfId="1590" tableBorderDxfId="1589" totalsRowBorderDxfId="1588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587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86">
      <calculatedColumnFormula>COUNTIF(Scenario4[winner1-ability2],ParagonAbilities2Scenario4[[#This Row],[ability]])</calculatedColumnFormula>
    </tableColumn>
    <tableColumn id="4" xr3:uid="{1F4853F6-9A8B-440D-A883-73FBA3E2B146}" name="battles-take-rate" dataDxfId="1585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84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83" headerRowBorderDxfId="1582" tableBorderDxfId="1581" totalsRowBorderDxfId="1580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79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78">
      <calculatedColumnFormula>COUNTIF(Scenario4[winner1-ability3],ParagonAbilities3Scenario4[[#This Row],[ability]])</calculatedColumnFormula>
    </tableColumn>
    <tableColumn id="4" xr3:uid="{90E5726D-20F9-4F3A-A0E6-A5A6EC87E009}" name="battles-take-rate" dataDxfId="1577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76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75" headerRowBorderDxfId="1574" tableBorderDxfId="1573" totalsRowBorderDxfId="1572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71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70">
      <calculatedColumnFormula>COUNTIF(Scenario4[winner1-ability4],ParagonAbilities4Scenario4[[#This Row],[ability]])</calculatedColumnFormula>
    </tableColumn>
    <tableColumn id="4" xr3:uid="{5FA50C4E-7E25-4F47-8E1C-377ED6B583BF}" name="battles-take-rate" dataDxfId="1569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68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2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1"/>
    <tableColumn id="5" xr3:uid="{128C557E-8342-4183-B44E-301E27402F84}" name="hero-4"/>
    <tableColumn id="7" xr3:uid="{AAC6C4FD-799F-4646-B17E-E24AA4D9541B}" name="team-2-win" dataDxfId="1800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799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67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66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65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64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63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62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61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60" headerRowBorderDxfId="1559" tableBorderDxfId="1558" totalsRowBorderDxfId="1557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56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55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54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53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52" headerRowBorderDxfId="1551" tableBorderDxfId="1550" totalsRowBorderDxfId="1549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48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47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46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45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44" headerRowBorderDxfId="1543" tableBorderDxfId="1542" totalsRowBorderDxfId="1541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40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39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38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37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36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35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34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33">
      <calculatedColumnFormula>L3+L24+L45+L66+L87+L108</calculatedColumnFormula>
    </tableColumn>
    <tableColumn id="4" xr3:uid="{6AD8A7A2-0013-4031-8DAB-5AD3D8FCB173}" name="wins" dataDxfId="1532">
      <calculatedColumnFormula>M3+M24+M45+M66+M87+M108</calculatedColumnFormula>
    </tableColumn>
    <tableColumn id="5" xr3:uid="{B3552DFB-EAFC-4577-B811-AF0F9687BA5C}" name="battles-take-rate" dataDxfId="1531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30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29" headerRowBorderDxfId="1528" tableBorderDxfId="1527" totalsRowBorderDxfId="1526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25">
      <calculatedColumnFormula>L8+L29+L50+L71+L92+L113</calculatedColumnFormula>
    </tableColumn>
    <tableColumn id="3" xr3:uid="{8FEED0FA-3268-41B1-9503-BD07DCBD59EB}" name="wins" dataDxfId="1524">
      <calculatedColumnFormula>M8+M29+M50+M71+M92+M113</calculatedColumnFormula>
    </tableColumn>
    <tableColumn id="4" xr3:uid="{791570BF-CF63-4FF3-98A5-66F96870FBA2}" name="battles-take-rate" dataDxfId="1523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22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21" headerRowBorderDxfId="1520" tableBorderDxfId="1519" totalsRowBorderDxfId="1518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17">
      <calculatedColumnFormula>L13+L34+L55+L76+L97+L118</calculatedColumnFormula>
    </tableColumn>
    <tableColumn id="3" xr3:uid="{03C77734-0BE9-4820-9770-29ACD0AF0635}" name="wins" dataDxfId="1516">
      <calculatedColumnFormula>M13+M34+M55+M76+M97+M118</calculatedColumnFormula>
    </tableColumn>
    <tableColumn id="4" xr3:uid="{FE54A2A3-BC60-46B8-89C1-8C761FDDC67F}" name="battles-take-rate" dataDxfId="1515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14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13" headerRowBorderDxfId="1512" tableBorderDxfId="1511" totalsRowBorderDxfId="1510">
  <autoFilter ref="A17:E20" xr:uid="{2AADA4A0-2F4A-4009-8ECF-0BECA693390C}"/>
  <tableColumns count="5">
    <tableColumn id="1" xr3:uid="{87950E31-BAB1-44C5-9C72-3AB67D671CA7}" name="ability" dataDxfId="1509"/>
    <tableColumn id="2" xr3:uid="{C84CD939-93B2-4F85-A4F0-569665A45FE6}" name="takes" dataDxfId="1508">
      <calculatedColumnFormula>L18+L39+L60+L81+L102+L123</calculatedColumnFormula>
    </tableColumn>
    <tableColumn id="3" xr3:uid="{6B188D82-4BD2-4FF2-8C12-D56DAEB9B117}" name="wins" dataDxfId="1507">
      <calculatedColumnFormula>M18+M39+M60+M81+M102+M123</calculatedColumnFormula>
    </tableColumn>
    <tableColumn id="4" xr3:uid="{00FCF0E9-BE21-44DD-BE30-37EA8F3BBCFF}" name="battles-take-rate" dataDxfId="1506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05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798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797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796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04">
      <calculatedColumnFormula>R3+R24+R45+R66+R87+R108</calculatedColumnFormula>
    </tableColumn>
    <tableColumn id="4" xr3:uid="{6BFD5C7B-4CFB-4B7D-B8E9-5C10F667B91B}" name="chestpiece" dataDxfId="150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02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01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00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499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498" headerRowBorderDxfId="1497" tableBorderDxfId="1496" totalsRowBorderDxfId="1495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494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493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492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491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490" headerRowBorderDxfId="1489" tableBorderDxfId="1488" totalsRowBorderDxfId="1487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86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85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84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83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82" headerRowBorderDxfId="1481" tableBorderDxfId="1480" totalsRowBorderDxfId="1479">
  <autoFilter ref="K17:O20" xr:uid="{01E0B516-A92C-45D4-946B-0FCF2F31D98A}"/>
  <tableColumns count="5">
    <tableColumn id="1" xr3:uid="{AA1B6D33-74EE-498E-B851-AABC093752BF}" name="ability" dataDxfId="1478"/>
    <tableColumn id="2" xr3:uid="{638C4C88-BC79-4B67-BB2F-FBF29994B680}" name="takes" dataDxfId="1477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76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75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74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73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72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71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70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69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68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67" headerRowBorderDxfId="1466" tableBorderDxfId="1465" totalsRowBorderDxfId="1464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63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62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61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60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59" headerRowBorderDxfId="1458" tableBorderDxfId="1457" totalsRowBorderDxfId="1456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55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54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53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52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51" headerRowBorderDxfId="1450" tableBorderDxfId="1449" totalsRowBorderDxfId="1448">
  <autoFilter ref="K38:O41" xr:uid="{A1F38E75-59DE-4DB4-B81C-C0322397F6F7}"/>
  <tableColumns count="5">
    <tableColumn id="1" xr3:uid="{769AEF11-64B1-48E1-81F7-44ED789A5436}" name="ability" dataDxfId="1447"/>
    <tableColumn id="2" xr3:uid="{329ABE97-FD25-4B89-85FE-EF4B7E705884}" name="takes" dataDxfId="1446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45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44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43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9" totalsRowShown="0">
  <autoFilter ref="A1:T59" xr:uid="{00000000-0009-0000-0100-000001000000}"/>
  <tableColumns count="20">
    <tableColumn id="1" xr3:uid="{936E5295-3BC3-4630-97BC-068124807D82}" name="battle" dataDxfId="1793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42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41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40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39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38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37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36" headerRowBorderDxfId="1435" tableBorderDxfId="1434" totalsRowBorderDxfId="1433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32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31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30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29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28" headerRowBorderDxfId="1427" tableBorderDxfId="1426" totalsRowBorderDxfId="1425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24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23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22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21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20" headerRowBorderDxfId="1419" tableBorderDxfId="1418" totalsRowBorderDxfId="1417">
  <autoFilter ref="K59:O62" xr:uid="{DDB7F110-02A6-4F67-8266-251AF48CB7C0}"/>
  <tableColumns count="5">
    <tableColumn id="1" xr3:uid="{24AD3B9C-E89B-4255-AF6A-993728E1E88D}" name="ability" dataDxfId="1416"/>
    <tableColumn id="2" xr3:uid="{D8585D3A-FC34-4996-9EF2-60CC70EA9A7A}" name="takes" dataDxfId="1415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14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13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12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11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10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09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08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07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06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05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04" headerRowBorderDxfId="1403" tableBorderDxfId="1402" totalsRowBorderDxfId="1401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00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399">
      <calculatedColumnFormula>COUNTIF(Scenario3[winner1-ability2],HighlanderAbilities2Scenario3[[#This Row],[ability]])</calculatedColumnFormula>
    </tableColumn>
    <tableColumn id="4" xr3:uid="{AC2E8A6D-1967-4F4D-9C38-3C0B9FDFCCDD}" name="battles-take-rate" dataDxfId="1398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397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396" headerRowBorderDxfId="1395" tableBorderDxfId="1394" totalsRowBorderDxfId="1393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392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391">
      <calculatedColumnFormula>COUNTIF(Scenario3[winner1-ability3],HighlanderAbilities3Scenario3[[#This Row],[ability]])</calculatedColumnFormula>
    </tableColumn>
    <tableColumn id="4" xr3:uid="{7F7C697F-AC90-4790-AA3C-9EFBA9C5C3BF}" name="battles-take-rate" dataDxfId="1390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389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2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1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0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388" headerRowBorderDxfId="1387" tableBorderDxfId="1386" totalsRowBorderDxfId="1385">
  <autoFilter ref="K80:O83" xr:uid="{52A1E26F-8C1E-4E44-A492-D2899C5A6AF6}"/>
  <tableColumns count="5">
    <tableColumn id="1" xr3:uid="{169774FB-455A-4DE4-A18D-B9D975DF3A85}" name="ability" dataDxfId="1384"/>
    <tableColumn id="2" xr3:uid="{E20A1519-EC59-41A4-BE08-D8DBEAC7CA6C}" name="takes" dataDxfId="1383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82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81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80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79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78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77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76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75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74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73" headerRowBorderDxfId="1372" tableBorderDxfId="1371" totalsRowBorderDxfId="1370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69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68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67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66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65" headerRowBorderDxfId="1364" tableBorderDxfId="1363" totalsRowBorderDxfId="1362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61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60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59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58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57" headerRowBorderDxfId="1356" tableBorderDxfId="1355" totalsRowBorderDxfId="1354">
  <autoFilter ref="K101:O104" xr:uid="{3021A274-1944-499F-919F-F5D82E87C071}"/>
  <tableColumns count="5">
    <tableColumn id="1" xr3:uid="{6A10C915-2B4E-4171-B1A6-BA0E08BCB5E6}" name="ability" dataDxfId="1353"/>
    <tableColumn id="2" xr3:uid="{1B63CB98-3358-4BF6-B784-DAB5C7511C79}" name="takes" dataDxfId="1352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51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50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49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48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47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46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45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44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43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42" headerRowBorderDxfId="1341" tableBorderDxfId="1340" totalsRowBorderDxfId="1339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38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37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36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35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34" headerRowBorderDxfId="1333" tableBorderDxfId="1332" totalsRowBorderDxfId="1331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30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29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28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27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89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88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87" totalsRowDxfId="1786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26" headerRowBorderDxfId="1325" tableBorderDxfId="1324" totalsRowBorderDxfId="1323">
  <autoFilter ref="K122:O125" xr:uid="{865DBF38-999A-4183-A029-CB08FB30F44C}"/>
  <tableColumns count="5">
    <tableColumn id="1" xr3:uid="{41E29E68-60A8-423B-9021-7DFA08756E06}" name="ability" dataDxfId="1322"/>
    <tableColumn id="2" xr3:uid="{9CC3CC3F-42CE-4277-9DE5-B1A61D3DB62A}" name="takes" dataDxfId="1321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20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19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18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17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16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15">
      <calculatedColumnFormula>L3+L24+L45+L66+L87+L108</calculatedColumnFormula>
    </tableColumn>
    <tableColumn id="4" xr3:uid="{30745929-46B0-48D6-B955-7A2AC6D9C7E1}" name="wins" dataDxfId="1314">
      <calculatedColumnFormula>M3+M24+M45+M66+M87+M108</calculatedColumnFormula>
    </tableColumn>
    <tableColumn id="5" xr3:uid="{6D02BF52-C170-4CC1-9A86-21AB4BDB7626}" name="battles-take-rate" dataDxfId="1313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12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11" headerRowBorderDxfId="1310" tableBorderDxfId="1309" totalsRowBorderDxfId="1308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07">
      <calculatedColumnFormula>L8+L29+L50+L71+L92+L113</calculatedColumnFormula>
    </tableColumn>
    <tableColumn id="3" xr3:uid="{48DF5F5A-0975-4E8D-B144-712277591A94}" name="wins" dataDxfId="1306">
      <calculatedColumnFormula>M8+M29+M50+M71+M92+M113</calculatedColumnFormula>
    </tableColumn>
    <tableColumn id="4" xr3:uid="{268E7864-1892-40A3-BCCF-FE157CEB565E}" name="battles-take-rate" dataDxfId="1305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04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03" headerRowBorderDxfId="1302" tableBorderDxfId="1301" totalsRowBorderDxfId="1300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299">
      <calculatedColumnFormula>L13+L34+L55+L76+L97+L118</calculatedColumnFormula>
    </tableColumn>
    <tableColumn id="3" xr3:uid="{925C0493-2E5C-4E18-B248-24590FEA740E}" name="wins" dataDxfId="1298">
      <calculatedColumnFormula>M13+M34+M55+M76+M97+M118</calculatedColumnFormula>
    </tableColumn>
    <tableColumn id="4" xr3:uid="{7164F2B9-2D78-40B4-A513-E10635D154E9}" name="battles-take-rate" dataDxfId="1297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296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295" headerRowBorderDxfId="1294" tableBorderDxfId="1293" totalsRowBorderDxfId="1292">
  <autoFilter ref="A17:E20" xr:uid="{2AADA4A0-2F4A-4009-8ECF-0BECA693390C}"/>
  <tableColumns count="5">
    <tableColumn id="1" xr3:uid="{B55E8E85-9B14-4EFC-B40F-2ADF016F740F}" name="ability" dataDxfId="1291"/>
    <tableColumn id="2" xr3:uid="{076E566F-F5E9-47AA-B1B5-F3E7825F4999}" name="takes" dataDxfId="1290">
      <calculatedColumnFormula>L18+L39+L60+L81+L102+L123</calculatedColumnFormula>
    </tableColumn>
    <tableColumn id="3" xr3:uid="{322B89F0-887F-4B61-98E6-57F772ED36C6}" name="wins" dataDxfId="1289">
      <calculatedColumnFormula>M18+M39+M60+M81+M102+M123</calculatedColumnFormula>
    </tableColumn>
    <tableColumn id="4" xr3:uid="{DD000198-4098-4FC5-A3B5-6351F4B85BF2}" name="battles-take-rate" dataDxfId="1288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287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86">
      <calculatedColumnFormula>R3+R24+R45+R66+R87+R108</calculatedColumnFormula>
    </tableColumn>
    <tableColumn id="4" xr3:uid="{59B0F45B-3883-4EBA-BA1D-13246CC2FDE2}" name="chestpiece" dataDxfId="1285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84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83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82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81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80" headerRowBorderDxfId="1279" tableBorderDxfId="1278" totalsRowBorderDxfId="1277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76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75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74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73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72" headerRowBorderDxfId="1271" tableBorderDxfId="1270" totalsRowBorderDxfId="1269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68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67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66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65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workbookViewId="0">
      <selection activeCell="A211" sqref="A3:XFD211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1</v>
      </c>
      <c r="C2" t="s">
        <v>48</v>
      </c>
      <c r="D2">
        <v>2</v>
      </c>
      <c r="F2">
        <v>1</v>
      </c>
      <c r="G2" t="s">
        <v>49</v>
      </c>
      <c r="K2" t="s">
        <v>43</v>
      </c>
      <c r="L2">
        <v>3</v>
      </c>
      <c r="N2">
        <v>1</v>
      </c>
      <c r="O2" t="s">
        <v>135</v>
      </c>
      <c r="P2" t="s">
        <v>74</v>
      </c>
      <c r="Q2" t="s">
        <v>100</v>
      </c>
      <c r="S2" t="s">
        <v>53</v>
      </c>
      <c r="T2">
        <v>1</v>
      </c>
      <c r="U2">
        <v>1</v>
      </c>
      <c r="V2">
        <v>1</v>
      </c>
      <c r="W2" t="s">
        <v>54</v>
      </c>
      <c r="AA2" t="s">
        <v>56</v>
      </c>
      <c r="AB2">
        <v>3</v>
      </c>
      <c r="AD2">
        <v>1</v>
      </c>
      <c r="AE2" t="s">
        <v>57</v>
      </c>
      <c r="AF2" t="s">
        <v>122</v>
      </c>
      <c r="AI2">
        <v>8</v>
      </c>
      <c r="AJ2">
        <v>25</v>
      </c>
    </row>
  </sheetData>
  <phoneticPr fontId="3" type="noConversion"/>
  <conditionalFormatting sqref="B1:B1048576">
    <cfRule type="duplicateValues" dxfId="1815" priority="1"/>
  </conditionalFormatting>
  <conditionalFormatting sqref="A2:B2">
    <cfRule type="duplicateValues" dxfId="1814" priority="624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L13" sqref="L13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0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3" s="3">
        <f>IF(ScenarioTeams4[[#This Row],[battles]],ScenarioTeams4[[#This Row],[wins]]/ScenarioTeams4[[#This Row],[battles]],0)</f>
        <v>0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</v>
      </c>
      <c r="N4" s="3">
        <f>IF(ScenarioTeams4[[#This Row],[battles]],ScenarioTeams4[[#This Row],[wins]]/ScenarioTeams4[[#This Row],[battles]],0)</f>
        <v>1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0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5" s="3">
        <f>IF(ScenarioTeams4[[#This Row],[battles]],ScenarioTeams4[[#This Row],[wins]]/ScenarioTeams4[[#This Row],[battles]],0)</f>
        <v>0</v>
      </c>
      <c r="P5" s="4" t="s">
        <v>158</v>
      </c>
      <c r="Q5" s="30">
        <f>MIN(Scenario4[turns])</f>
        <v>24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0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6" s="3">
        <f>IF(ScenarioTeams4[[#This Row],[battles]],ScenarioTeams4[[#This Row],[wins]]/ScenarioTeams4[[#This Row],[battles]],0)</f>
        <v>0</v>
      </c>
      <c r="P6" s="5" t="s">
        <v>108</v>
      </c>
      <c r="Q6" s="31">
        <f>AVERAGE(Scenario4[turns])</f>
        <v>24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0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7" s="3">
        <f>IF(ScenarioTeams4[[#This Row],[battles]],ScenarioTeams4[[#This Row],[wins]]/ScenarioTeams4[[#This Row],[battles]],0)</f>
        <v>0</v>
      </c>
      <c r="P7" s="5" t="s">
        <v>160</v>
      </c>
      <c r="Q7" s="31">
        <f>MAX(Scenario4[turns])</f>
        <v>24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0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8" s="3">
        <f>IF(ScenarioTeams4[[#This Row],[battles]],ScenarioTeams4[[#This Row],[wins]]/ScenarioTeams4[[#This Row],[battles]],0)</f>
        <v>0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0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9" s="3">
        <f>IF(ScenarioTeams4[[#This Row],[battles]],ScenarioTeams4[[#This Row],[wins]]/ScenarioTeams4[[#This Row],[battles]],0)</f>
        <v>0</v>
      </c>
      <c r="P9" s="4" t="s">
        <v>185</v>
      </c>
      <c r="Q9" s="30">
        <f>120000*$Q$6/1000/60</f>
        <v>48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0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10" s="3">
        <f>IF(ScenarioTeams4[[#This Row],[battles]],ScenarioTeams4[[#This Row],[wins]]/ScenarioTeams4[[#This Row],[battles]],0)</f>
        <v>0</v>
      </c>
      <c r="P10" s="5" t="s">
        <v>186</v>
      </c>
      <c r="Q10" s="6">
        <f>Q9*COUNTA(ScenarioStat4[hero-1])/60/24*2</f>
        <v>4.666666666666667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0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0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0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0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0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0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0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0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0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0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0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0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0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0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0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0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0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0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0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0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0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0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0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0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0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0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0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0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0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0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0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0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0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0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0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0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0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0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0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0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0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0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0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0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0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0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0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0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0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0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0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0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0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0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0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0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0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0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0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0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0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0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K14" sqref="AK14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288</v>
      </c>
      <c r="B2">
        <v>0</v>
      </c>
      <c r="C2" t="s">
        <v>48</v>
      </c>
      <c r="D2">
        <v>2</v>
      </c>
      <c r="F2">
        <v>1</v>
      </c>
      <c r="G2" t="s">
        <v>49</v>
      </c>
      <c r="H2" t="s">
        <v>84</v>
      </c>
      <c r="I2" t="s">
        <v>127</v>
      </c>
      <c r="J2" t="s">
        <v>128</v>
      </c>
      <c r="K2" t="s">
        <v>33</v>
      </c>
      <c r="L2">
        <v>3</v>
      </c>
      <c r="N2">
        <v>1</v>
      </c>
      <c r="O2" t="s">
        <v>65</v>
      </c>
      <c r="P2" t="s">
        <v>130</v>
      </c>
      <c r="Q2" t="s">
        <v>36</v>
      </c>
      <c r="R2" t="s">
        <v>134</v>
      </c>
      <c r="S2" t="s">
        <v>53</v>
      </c>
      <c r="T2">
        <v>1</v>
      </c>
      <c r="U2">
        <v>1</v>
      </c>
      <c r="V2">
        <v>2</v>
      </c>
      <c r="W2" t="s">
        <v>112</v>
      </c>
      <c r="X2" t="s">
        <v>113</v>
      </c>
      <c r="Y2" t="s">
        <v>114</v>
      </c>
      <c r="Z2" t="s">
        <v>98</v>
      </c>
      <c r="AA2" t="s">
        <v>56</v>
      </c>
      <c r="AB2">
        <v>3</v>
      </c>
      <c r="AD2">
        <v>1</v>
      </c>
      <c r="AE2" t="s">
        <v>120</v>
      </c>
      <c r="AI2">
        <v>0</v>
      </c>
      <c r="AJ2">
        <v>19</v>
      </c>
    </row>
    <row r="3" spans="1:36" x14ac:dyDescent="0.25">
      <c r="A3" t="s">
        <v>289</v>
      </c>
      <c r="B3">
        <v>1</v>
      </c>
      <c r="C3" t="s">
        <v>53</v>
      </c>
      <c r="D3">
        <v>1</v>
      </c>
      <c r="E3">
        <v>3</v>
      </c>
      <c r="F3">
        <v>3</v>
      </c>
      <c r="G3" t="s">
        <v>112</v>
      </c>
      <c r="H3" t="s">
        <v>55</v>
      </c>
      <c r="K3" t="s">
        <v>56</v>
      </c>
      <c r="L3">
        <v>3</v>
      </c>
      <c r="N3">
        <v>2</v>
      </c>
      <c r="O3" t="s">
        <v>120</v>
      </c>
      <c r="P3" t="s">
        <v>121</v>
      </c>
      <c r="S3" t="s">
        <v>48</v>
      </c>
      <c r="T3">
        <v>3</v>
      </c>
      <c r="V3">
        <v>1</v>
      </c>
      <c r="W3" t="s">
        <v>49</v>
      </c>
      <c r="X3" t="s">
        <v>84</v>
      </c>
      <c r="AA3" t="s">
        <v>43</v>
      </c>
      <c r="AB3">
        <v>3</v>
      </c>
      <c r="AD3">
        <v>1</v>
      </c>
      <c r="AE3" t="s">
        <v>73</v>
      </c>
      <c r="AF3" t="s">
        <v>99</v>
      </c>
      <c r="AG3" t="s">
        <v>75</v>
      </c>
      <c r="AH3" t="s">
        <v>101</v>
      </c>
      <c r="AI3">
        <v>0</v>
      </c>
      <c r="AJ3">
        <v>21</v>
      </c>
    </row>
    <row r="4" spans="1:36" x14ac:dyDescent="0.25">
      <c r="A4" t="s">
        <v>290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97</v>
      </c>
      <c r="J4" t="s">
        <v>98</v>
      </c>
      <c r="K4" t="s">
        <v>56</v>
      </c>
      <c r="L4">
        <v>3</v>
      </c>
      <c r="N4">
        <v>1</v>
      </c>
      <c r="O4" t="s">
        <v>120</v>
      </c>
      <c r="P4" t="s">
        <v>121</v>
      </c>
      <c r="S4" t="s">
        <v>48</v>
      </c>
      <c r="T4">
        <v>2</v>
      </c>
      <c r="V4">
        <v>1</v>
      </c>
      <c r="W4" t="s">
        <v>49</v>
      </c>
      <c r="X4" t="s">
        <v>84</v>
      </c>
      <c r="Y4" t="s">
        <v>127</v>
      </c>
      <c r="AA4" t="s">
        <v>45</v>
      </c>
      <c r="AB4">
        <v>3</v>
      </c>
      <c r="AD4">
        <v>3</v>
      </c>
      <c r="AE4" t="s">
        <v>86</v>
      </c>
      <c r="AF4" t="s">
        <v>141</v>
      </c>
      <c r="AG4" t="s">
        <v>93</v>
      </c>
      <c r="AH4" t="s">
        <v>143</v>
      </c>
      <c r="AI4">
        <v>0</v>
      </c>
      <c r="AJ4">
        <v>28</v>
      </c>
    </row>
    <row r="5" spans="1:36" x14ac:dyDescent="0.25">
      <c r="A5" t="s">
        <v>291</v>
      </c>
      <c r="B5">
        <v>3</v>
      </c>
      <c r="C5" t="s">
        <v>53</v>
      </c>
      <c r="D5">
        <v>1</v>
      </c>
      <c r="E5">
        <v>1</v>
      </c>
      <c r="F5">
        <v>1</v>
      </c>
      <c r="G5" t="s">
        <v>111</v>
      </c>
      <c r="H5" t="s">
        <v>83</v>
      </c>
      <c r="I5" t="s">
        <v>105</v>
      </c>
      <c r="J5" t="s">
        <v>116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85</v>
      </c>
      <c r="S5" t="s">
        <v>48</v>
      </c>
      <c r="T5">
        <v>2</v>
      </c>
      <c r="V5">
        <v>1</v>
      </c>
      <c r="W5" t="s">
        <v>49</v>
      </c>
      <c r="X5" t="s">
        <v>84</v>
      </c>
      <c r="Y5" t="s">
        <v>127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G5" t="s">
        <v>147</v>
      </c>
      <c r="AI5">
        <v>0</v>
      </c>
      <c r="AJ5">
        <v>15</v>
      </c>
    </row>
    <row r="6" spans="1:36" x14ac:dyDescent="0.25">
      <c r="A6" t="s">
        <v>292</v>
      </c>
      <c r="B6">
        <v>4</v>
      </c>
      <c r="C6" t="s">
        <v>53</v>
      </c>
      <c r="D6">
        <v>1</v>
      </c>
      <c r="E6">
        <v>1</v>
      </c>
      <c r="F6">
        <v>3</v>
      </c>
      <c r="G6" t="s">
        <v>112</v>
      </c>
      <c r="H6" t="s">
        <v>83</v>
      </c>
      <c r="I6" t="s">
        <v>114</v>
      </c>
      <c r="J6" t="s">
        <v>115</v>
      </c>
      <c r="K6" t="s">
        <v>56</v>
      </c>
      <c r="L6">
        <v>2</v>
      </c>
      <c r="N6">
        <v>1</v>
      </c>
      <c r="O6" t="s">
        <v>120</v>
      </c>
      <c r="P6" t="s">
        <v>121</v>
      </c>
      <c r="Q6" t="s">
        <v>87</v>
      </c>
      <c r="R6" t="s">
        <v>125</v>
      </c>
      <c r="S6" t="s">
        <v>48</v>
      </c>
      <c r="T6">
        <v>2</v>
      </c>
      <c r="V6">
        <v>1</v>
      </c>
      <c r="W6" t="s">
        <v>49</v>
      </c>
      <c r="X6" t="s">
        <v>71</v>
      </c>
      <c r="Y6" t="s">
        <v>127</v>
      </c>
      <c r="AA6" t="s">
        <v>38</v>
      </c>
      <c r="AB6">
        <v>3</v>
      </c>
      <c r="AC6">
        <v>1</v>
      </c>
      <c r="AD6">
        <v>2</v>
      </c>
      <c r="AE6" t="s">
        <v>152</v>
      </c>
      <c r="AF6" t="s">
        <v>40</v>
      </c>
      <c r="AI6">
        <v>0</v>
      </c>
      <c r="AJ6">
        <v>22</v>
      </c>
    </row>
    <row r="7" spans="1:36" x14ac:dyDescent="0.25">
      <c r="A7" t="s">
        <v>293</v>
      </c>
      <c r="B7">
        <v>5</v>
      </c>
      <c r="C7" t="s">
        <v>53</v>
      </c>
      <c r="D7">
        <v>1</v>
      </c>
      <c r="E7">
        <v>1</v>
      </c>
      <c r="F7">
        <v>2</v>
      </c>
      <c r="G7" t="s">
        <v>112</v>
      </c>
      <c r="H7" t="s">
        <v>113</v>
      </c>
      <c r="K7" t="s">
        <v>56</v>
      </c>
      <c r="L7">
        <v>3</v>
      </c>
      <c r="N7">
        <v>1</v>
      </c>
      <c r="O7" t="s">
        <v>120</v>
      </c>
      <c r="P7" t="s">
        <v>69</v>
      </c>
      <c r="Q7" t="s">
        <v>85</v>
      </c>
      <c r="S7" t="s">
        <v>33</v>
      </c>
      <c r="T7">
        <v>1</v>
      </c>
      <c r="V7">
        <v>1</v>
      </c>
      <c r="W7" t="s">
        <v>65</v>
      </c>
      <c r="X7" t="s">
        <v>130</v>
      </c>
      <c r="Y7" t="s">
        <v>36</v>
      </c>
      <c r="Z7" t="s">
        <v>134</v>
      </c>
      <c r="AA7" t="s">
        <v>43</v>
      </c>
      <c r="AB7">
        <v>1</v>
      </c>
      <c r="AD7">
        <v>2</v>
      </c>
      <c r="AE7" t="s">
        <v>73</v>
      </c>
      <c r="AF7" t="s">
        <v>99</v>
      </c>
      <c r="AG7" t="s">
        <v>75</v>
      </c>
      <c r="AH7" t="s">
        <v>101</v>
      </c>
      <c r="AI7">
        <v>0</v>
      </c>
      <c r="AJ7">
        <v>17</v>
      </c>
    </row>
    <row r="8" spans="1:36" x14ac:dyDescent="0.25">
      <c r="A8" t="s">
        <v>294</v>
      </c>
      <c r="B8">
        <v>6</v>
      </c>
      <c r="C8" t="s">
        <v>33</v>
      </c>
      <c r="D8">
        <v>3</v>
      </c>
      <c r="F8">
        <v>2</v>
      </c>
      <c r="G8" t="s">
        <v>65</v>
      </c>
      <c r="H8" t="s">
        <v>130</v>
      </c>
      <c r="I8" t="s">
        <v>131</v>
      </c>
      <c r="J8" t="s">
        <v>134</v>
      </c>
      <c r="K8" t="s">
        <v>45</v>
      </c>
      <c r="L8">
        <v>3</v>
      </c>
      <c r="N8">
        <v>1</v>
      </c>
      <c r="O8" t="s">
        <v>140</v>
      </c>
      <c r="P8" t="s">
        <v>76</v>
      </c>
      <c r="Q8" t="s">
        <v>102</v>
      </c>
      <c r="R8" t="s">
        <v>143</v>
      </c>
      <c r="S8" t="s">
        <v>53</v>
      </c>
      <c r="T8">
        <v>2</v>
      </c>
      <c r="U8">
        <v>1</v>
      </c>
      <c r="V8">
        <v>3</v>
      </c>
      <c r="W8" t="s">
        <v>112</v>
      </c>
      <c r="X8" t="s">
        <v>83</v>
      </c>
      <c r="Y8" t="s">
        <v>97</v>
      </c>
      <c r="AA8" t="s">
        <v>56</v>
      </c>
      <c r="AB8">
        <v>3</v>
      </c>
      <c r="AD8">
        <v>1</v>
      </c>
      <c r="AE8" t="s">
        <v>120</v>
      </c>
      <c r="AI8">
        <v>0</v>
      </c>
      <c r="AJ8">
        <v>22</v>
      </c>
    </row>
    <row r="9" spans="1:36" x14ac:dyDescent="0.25">
      <c r="A9" t="s">
        <v>295</v>
      </c>
      <c r="B9">
        <v>7</v>
      </c>
      <c r="C9" t="s">
        <v>33</v>
      </c>
      <c r="D9">
        <v>1</v>
      </c>
      <c r="F9">
        <v>2</v>
      </c>
      <c r="G9" t="s">
        <v>65</v>
      </c>
      <c r="H9" t="s">
        <v>130</v>
      </c>
      <c r="I9" t="s">
        <v>36</v>
      </c>
      <c r="J9" t="s">
        <v>134</v>
      </c>
      <c r="K9" t="s">
        <v>63</v>
      </c>
      <c r="L9">
        <v>1</v>
      </c>
      <c r="N9">
        <v>1</v>
      </c>
      <c r="O9" t="s">
        <v>103</v>
      </c>
      <c r="P9" t="s">
        <v>95</v>
      </c>
      <c r="S9" t="s">
        <v>53</v>
      </c>
      <c r="T9">
        <v>3</v>
      </c>
      <c r="U9">
        <v>1</v>
      </c>
      <c r="V9">
        <v>1</v>
      </c>
      <c r="W9" t="s">
        <v>112</v>
      </c>
      <c r="X9" t="s">
        <v>83</v>
      </c>
      <c r="Y9" t="s">
        <v>105</v>
      </c>
      <c r="AA9" t="s">
        <v>56</v>
      </c>
      <c r="AB9">
        <v>3</v>
      </c>
      <c r="AD9">
        <v>1</v>
      </c>
      <c r="AE9" t="s">
        <v>120</v>
      </c>
      <c r="AI9">
        <v>0</v>
      </c>
      <c r="AJ9">
        <v>16</v>
      </c>
    </row>
    <row r="10" spans="1:36" x14ac:dyDescent="0.25">
      <c r="A10" t="s">
        <v>296</v>
      </c>
      <c r="B10">
        <v>8</v>
      </c>
      <c r="C10" t="s">
        <v>53</v>
      </c>
      <c r="D10">
        <v>1</v>
      </c>
      <c r="E10">
        <v>1</v>
      </c>
      <c r="F10">
        <v>2</v>
      </c>
      <c r="G10" t="s">
        <v>112</v>
      </c>
      <c r="H10" t="s">
        <v>113</v>
      </c>
      <c r="K10" t="s">
        <v>56</v>
      </c>
      <c r="L10">
        <v>3</v>
      </c>
      <c r="N10">
        <v>2</v>
      </c>
      <c r="O10" t="s">
        <v>120</v>
      </c>
      <c r="P10" t="s">
        <v>69</v>
      </c>
      <c r="S10" t="s">
        <v>33</v>
      </c>
      <c r="T10">
        <v>1</v>
      </c>
      <c r="V10">
        <v>3</v>
      </c>
      <c r="W10" t="s">
        <v>65</v>
      </c>
      <c r="X10" t="s">
        <v>130</v>
      </c>
      <c r="Y10" t="s">
        <v>36</v>
      </c>
      <c r="AA10" t="s">
        <v>38</v>
      </c>
      <c r="AB10">
        <v>3</v>
      </c>
      <c r="AC10">
        <v>1</v>
      </c>
      <c r="AD10">
        <v>1</v>
      </c>
      <c r="AE10" t="s">
        <v>152</v>
      </c>
      <c r="AF10" t="s">
        <v>40</v>
      </c>
      <c r="AI10">
        <v>0</v>
      </c>
      <c r="AJ10">
        <v>17</v>
      </c>
    </row>
    <row r="11" spans="1:36" x14ac:dyDescent="0.25">
      <c r="A11" t="s">
        <v>297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97</v>
      </c>
      <c r="J11" t="s">
        <v>98</v>
      </c>
      <c r="K11" t="s">
        <v>56</v>
      </c>
      <c r="L11">
        <v>1</v>
      </c>
      <c r="N11">
        <v>1</v>
      </c>
      <c r="O11" t="s">
        <v>120</v>
      </c>
      <c r="P11" t="s">
        <v>121</v>
      </c>
      <c r="Q11" t="s">
        <v>87</v>
      </c>
      <c r="R11" t="s">
        <v>88</v>
      </c>
      <c r="S11" t="s">
        <v>43</v>
      </c>
      <c r="T11">
        <v>1</v>
      </c>
      <c r="V11">
        <v>1</v>
      </c>
      <c r="W11" t="s">
        <v>73</v>
      </c>
      <c r="X11" t="s">
        <v>99</v>
      </c>
      <c r="Y11" t="s">
        <v>137</v>
      </c>
      <c r="Z11" t="s">
        <v>101</v>
      </c>
      <c r="AA11" t="s">
        <v>45</v>
      </c>
      <c r="AB11">
        <v>3</v>
      </c>
      <c r="AD11">
        <v>3</v>
      </c>
      <c r="AE11" t="s">
        <v>86</v>
      </c>
      <c r="AF11" t="s">
        <v>76</v>
      </c>
      <c r="AG11" t="s">
        <v>102</v>
      </c>
      <c r="AH11" t="s">
        <v>143</v>
      </c>
      <c r="AI11">
        <v>0</v>
      </c>
      <c r="AJ11">
        <v>28</v>
      </c>
    </row>
    <row r="12" spans="1:36" x14ac:dyDescent="0.25">
      <c r="A12" t="s">
        <v>298</v>
      </c>
      <c r="B12">
        <v>10</v>
      </c>
      <c r="C12" t="s">
        <v>43</v>
      </c>
      <c r="D12">
        <v>2</v>
      </c>
      <c r="F12">
        <v>1</v>
      </c>
      <c r="G12" t="s">
        <v>44</v>
      </c>
      <c r="H12" t="s">
        <v>99</v>
      </c>
      <c r="I12" t="s">
        <v>75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Q12" t="s">
        <v>148</v>
      </c>
      <c r="R12" t="s">
        <v>149</v>
      </c>
      <c r="S12" t="s">
        <v>53</v>
      </c>
      <c r="T12">
        <v>2</v>
      </c>
      <c r="U12">
        <v>1</v>
      </c>
      <c r="V12">
        <v>1</v>
      </c>
      <c r="W12" t="s">
        <v>112</v>
      </c>
      <c r="X12" t="s">
        <v>55</v>
      </c>
      <c r="Y12" t="s">
        <v>114</v>
      </c>
      <c r="AA12" t="s">
        <v>56</v>
      </c>
      <c r="AB12">
        <v>2</v>
      </c>
      <c r="AD12">
        <v>1</v>
      </c>
      <c r="AE12" t="s">
        <v>120</v>
      </c>
      <c r="AI12">
        <v>0</v>
      </c>
      <c r="AJ12">
        <v>16</v>
      </c>
    </row>
    <row r="13" spans="1:36" x14ac:dyDescent="0.25">
      <c r="A13" t="s">
        <v>299</v>
      </c>
      <c r="B13">
        <v>11</v>
      </c>
      <c r="C13" t="s">
        <v>53</v>
      </c>
      <c r="D13">
        <v>2</v>
      </c>
      <c r="E13">
        <v>3</v>
      </c>
      <c r="F13">
        <v>3</v>
      </c>
      <c r="G13" t="s">
        <v>112</v>
      </c>
      <c r="H13" t="s">
        <v>55</v>
      </c>
      <c r="I13" t="s">
        <v>97</v>
      </c>
      <c r="J13" t="s">
        <v>116</v>
      </c>
      <c r="K13" t="s">
        <v>56</v>
      </c>
      <c r="L13">
        <v>3</v>
      </c>
      <c r="N13">
        <v>3</v>
      </c>
      <c r="O13" t="s">
        <v>120</v>
      </c>
      <c r="P13" t="s">
        <v>121</v>
      </c>
      <c r="Q13" t="s">
        <v>87</v>
      </c>
      <c r="R13" t="s">
        <v>88</v>
      </c>
      <c r="S13" t="s">
        <v>43</v>
      </c>
      <c r="T13">
        <v>3</v>
      </c>
      <c r="V13">
        <v>1</v>
      </c>
      <c r="W13" t="s">
        <v>73</v>
      </c>
      <c r="X13" t="s">
        <v>99</v>
      </c>
      <c r="Y13" t="s">
        <v>75</v>
      </c>
      <c r="AA13" t="s">
        <v>38</v>
      </c>
      <c r="AB13">
        <v>3</v>
      </c>
      <c r="AC13">
        <v>3</v>
      </c>
      <c r="AD13">
        <v>2</v>
      </c>
      <c r="AE13" t="s">
        <v>152</v>
      </c>
      <c r="AF13" t="s">
        <v>40</v>
      </c>
      <c r="AG13" t="s">
        <v>153</v>
      </c>
      <c r="AH13" t="s">
        <v>42</v>
      </c>
      <c r="AI13">
        <v>0</v>
      </c>
      <c r="AJ13">
        <v>32</v>
      </c>
    </row>
    <row r="14" spans="1:36" x14ac:dyDescent="0.25">
      <c r="A14" t="s">
        <v>300</v>
      </c>
      <c r="B14">
        <v>12</v>
      </c>
      <c r="C14" t="s">
        <v>53</v>
      </c>
      <c r="D14">
        <v>1</v>
      </c>
      <c r="E14">
        <v>2</v>
      </c>
      <c r="F14">
        <v>1</v>
      </c>
      <c r="G14" t="s">
        <v>112</v>
      </c>
      <c r="H14" t="s">
        <v>113</v>
      </c>
      <c r="I14" t="s">
        <v>114</v>
      </c>
      <c r="J14" t="s">
        <v>116</v>
      </c>
      <c r="K14" t="s">
        <v>56</v>
      </c>
      <c r="L14">
        <v>3</v>
      </c>
      <c r="N14">
        <v>1</v>
      </c>
      <c r="O14" t="s">
        <v>57</v>
      </c>
      <c r="P14" t="s">
        <v>122</v>
      </c>
      <c r="Q14" t="s">
        <v>85</v>
      </c>
      <c r="S14" t="s">
        <v>45</v>
      </c>
      <c r="T14">
        <v>3</v>
      </c>
      <c r="V14">
        <v>1</v>
      </c>
      <c r="W14" t="s">
        <v>86</v>
      </c>
      <c r="X14" t="s">
        <v>76</v>
      </c>
      <c r="Y14" t="s">
        <v>93</v>
      </c>
      <c r="AA14" t="s">
        <v>63</v>
      </c>
      <c r="AB14">
        <v>1</v>
      </c>
      <c r="AD14">
        <v>1</v>
      </c>
      <c r="AE14" t="s">
        <v>103</v>
      </c>
      <c r="AF14" t="s">
        <v>95</v>
      </c>
      <c r="AI14">
        <v>0</v>
      </c>
      <c r="AJ14">
        <v>17</v>
      </c>
    </row>
    <row r="15" spans="1:36" x14ac:dyDescent="0.25">
      <c r="A15" t="s">
        <v>301</v>
      </c>
      <c r="B15">
        <v>13</v>
      </c>
      <c r="C15" t="s">
        <v>53</v>
      </c>
      <c r="D15">
        <v>1</v>
      </c>
      <c r="E15">
        <v>1</v>
      </c>
      <c r="F15">
        <v>2</v>
      </c>
      <c r="G15" t="s">
        <v>112</v>
      </c>
      <c r="H15" t="s">
        <v>55</v>
      </c>
      <c r="I15" t="s">
        <v>97</v>
      </c>
      <c r="J15" t="s">
        <v>116</v>
      </c>
      <c r="K15" t="s">
        <v>56</v>
      </c>
      <c r="L15">
        <v>1</v>
      </c>
      <c r="N15">
        <v>3</v>
      </c>
      <c r="O15" t="s">
        <v>57</v>
      </c>
      <c r="P15" t="s">
        <v>122</v>
      </c>
      <c r="Q15" t="s">
        <v>85</v>
      </c>
      <c r="S15" t="s">
        <v>45</v>
      </c>
      <c r="T15">
        <v>3</v>
      </c>
      <c r="V15">
        <v>1</v>
      </c>
      <c r="W15" t="s">
        <v>86</v>
      </c>
      <c r="X15" t="s">
        <v>76</v>
      </c>
      <c r="Y15" t="s">
        <v>93</v>
      </c>
      <c r="AA15" t="s">
        <v>38</v>
      </c>
      <c r="AB15">
        <v>3</v>
      </c>
      <c r="AC15">
        <v>1</v>
      </c>
      <c r="AD15">
        <v>1</v>
      </c>
      <c r="AE15" t="s">
        <v>152</v>
      </c>
      <c r="AF15" t="s">
        <v>96</v>
      </c>
      <c r="AI15">
        <v>0</v>
      </c>
      <c r="AJ15">
        <v>19</v>
      </c>
    </row>
    <row r="16" spans="1:36" x14ac:dyDescent="0.25">
      <c r="A16" t="s">
        <v>302</v>
      </c>
      <c r="B16">
        <v>14</v>
      </c>
      <c r="C16" t="s">
        <v>63</v>
      </c>
      <c r="D16">
        <v>2</v>
      </c>
      <c r="F16">
        <v>1</v>
      </c>
      <c r="G16" t="s">
        <v>103</v>
      </c>
      <c r="H16" t="s">
        <v>95</v>
      </c>
      <c r="I16" t="s">
        <v>104</v>
      </c>
      <c r="K16" t="s">
        <v>38</v>
      </c>
      <c r="L16">
        <v>1</v>
      </c>
      <c r="M16">
        <v>1</v>
      </c>
      <c r="N16">
        <v>1</v>
      </c>
      <c r="O16" t="s">
        <v>152</v>
      </c>
      <c r="P16" t="s">
        <v>40</v>
      </c>
      <c r="Q16" t="s">
        <v>154</v>
      </c>
      <c r="S16" t="s">
        <v>53</v>
      </c>
      <c r="T16">
        <v>3</v>
      </c>
      <c r="U16">
        <v>1</v>
      </c>
      <c r="V16">
        <v>2</v>
      </c>
      <c r="W16" t="s">
        <v>112</v>
      </c>
      <c r="X16" t="s">
        <v>55</v>
      </c>
      <c r="AA16" t="s">
        <v>56</v>
      </c>
      <c r="AB16">
        <v>1</v>
      </c>
      <c r="AD16">
        <v>1</v>
      </c>
      <c r="AE16" t="s">
        <v>57</v>
      </c>
      <c r="AF16" t="s">
        <v>122</v>
      </c>
      <c r="AG16" t="s">
        <v>85</v>
      </c>
      <c r="AI16">
        <v>0</v>
      </c>
      <c r="AJ16">
        <v>16</v>
      </c>
    </row>
    <row r="17" spans="1:36" x14ac:dyDescent="0.25">
      <c r="A17" t="s">
        <v>303</v>
      </c>
      <c r="B17">
        <v>15</v>
      </c>
      <c r="C17" t="s">
        <v>56</v>
      </c>
      <c r="D17">
        <v>2</v>
      </c>
      <c r="F17">
        <v>2</v>
      </c>
      <c r="G17" t="s">
        <v>120</v>
      </c>
      <c r="H17" t="s">
        <v>122</v>
      </c>
      <c r="I17" t="s">
        <v>87</v>
      </c>
      <c r="J17" t="s">
        <v>124</v>
      </c>
      <c r="K17" t="s">
        <v>33</v>
      </c>
      <c r="L17">
        <v>1</v>
      </c>
      <c r="N17">
        <v>3</v>
      </c>
      <c r="O17" t="s">
        <v>65</v>
      </c>
      <c r="P17" t="s">
        <v>130</v>
      </c>
      <c r="Q17" t="s">
        <v>36</v>
      </c>
      <c r="R17" t="s">
        <v>134</v>
      </c>
      <c r="S17" t="s">
        <v>53</v>
      </c>
      <c r="T17">
        <v>2</v>
      </c>
      <c r="U17">
        <v>1</v>
      </c>
      <c r="V17">
        <v>2</v>
      </c>
      <c r="W17" t="s">
        <v>112</v>
      </c>
      <c r="X17" t="s">
        <v>83</v>
      </c>
      <c r="Y17" t="s">
        <v>105</v>
      </c>
      <c r="Z17" t="s">
        <v>98</v>
      </c>
      <c r="AA17" t="s">
        <v>48</v>
      </c>
      <c r="AB17">
        <v>1</v>
      </c>
      <c r="AD17">
        <v>1</v>
      </c>
      <c r="AE17" t="s">
        <v>126</v>
      </c>
      <c r="AF17" t="s">
        <v>84</v>
      </c>
      <c r="AG17" t="s">
        <v>127</v>
      </c>
      <c r="AI17">
        <v>0</v>
      </c>
      <c r="AJ17">
        <v>21</v>
      </c>
    </row>
    <row r="18" spans="1:36" x14ac:dyDescent="0.25">
      <c r="A18" t="s">
        <v>304</v>
      </c>
      <c r="B18">
        <v>16</v>
      </c>
      <c r="C18" t="s">
        <v>53</v>
      </c>
      <c r="D18">
        <v>1</v>
      </c>
      <c r="E18">
        <v>2</v>
      </c>
      <c r="F18">
        <v>3</v>
      </c>
      <c r="G18" t="s">
        <v>112</v>
      </c>
      <c r="H18" t="s">
        <v>55</v>
      </c>
      <c r="I18" t="s">
        <v>105</v>
      </c>
      <c r="J18" t="s">
        <v>98</v>
      </c>
      <c r="K18" t="s">
        <v>48</v>
      </c>
      <c r="L18">
        <v>1</v>
      </c>
      <c r="N18">
        <v>1</v>
      </c>
      <c r="O18" t="s">
        <v>126</v>
      </c>
      <c r="P18" t="s">
        <v>71</v>
      </c>
      <c r="Q18" t="s">
        <v>90</v>
      </c>
      <c r="R18" t="s">
        <v>129</v>
      </c>
      <c r="S18" t="s">
        <v>56</v>
      </c>
      <c r="T18">
        <v>3</v>
      </c>
      <c r="V18">
        <v>2</v>
      </c>
      <c r="W18" t="s">
        <v>120</v>
      </c>
      <c r="X18" t="s">
        <v>121</v>
      </c>
      <c r="Y18" t="s">
        <v>123</v>
      </c>
      <c r="Z18" t="s">
        <v>124</v>
      </c>
      <c r="AA18" t="s">
        <v>43</v>
      </c>
      <c r="AB18">
        <v>3</v>
      </c>
      <c r="AD18">
        <v>1</v>
      </c>
      <c r="AE18" t="s">
        <v>44</v>
      </c>
      <c r="AF18" t="s">
        <v>136</v>
      </c>
      <c r="AG18" t="s">
        <v>137</v>
      </c>
      <c r="AI18">
        <v>0</v>
      </c>
      <c r="AJ18">
        <v>25</v>
      </c>
    </row>
    <row r="19" spans="1:36" x14ac:dyDescent="0.25">
      <c r="A19" t="s">
        <v>305</v>
      </c>
      <c r="B19">
        <v>17</v>
      </c>
      <c r="C19" t="s">
        <v>56</v>
      </c>
      <c r="D19">
        <v>3</v>
      </c>
      <c r="F19">
        <v>1</v>
      </c>
      <c r="G19" t="s">
        <v>57</v>
      </c>
      <c r="H19" t="s">
        <v>122</v>
      </c>
      <c r="K19" t="s">
        <v>45</v>
      </c>
      <c r="L19">
        <v>3</v>
      </c>
      <c r="N19">
        <v>1</v>
      </c>
      <c r="O19" t="s">
        <v>86</v>
      </c>
      <c r="P19" t="s">
        <v>92</v>
      </c>
      <c r="S19" t="s">
        <v>53</v>
      </c>
      <c r="T19">
        <v>2</v>
      </c>
      <c r="U19">
        <v>1</v>
      </c>
      <c r="V19">
        <v>1</v>
      </c>
      <c r="W19" t="s">
        <v>112</v>
      </c>
      <c r="X19" t="s">
        <v>55</v>
      </c>
      <c r="Y19" t="s">
        <v>97</v>
      </c>
      <c r="AA19" t="s">
        <v>48</v>
      </c>
      <c r="AB19">
        <v>1</v>
      </c>
      <c r="AD19">
        <v>1</v>
      </c>
      <c r="AE19" t="s">
        <v>89</v>
      </c>
      <c r="AF19" t="s">
        <v>50</v>
      </c>
      <c r="AI19">
        <v>0</v>
      </c>
      <c r="AJ19">
        <v>14</v>
      </c>
    </row>
    <row r="20" spans="1:36" x14ac:dyDescent="0.25">
      <c r="A20" t="s">
        <v>306</v>
      </c>
      <c r="B20">
        <v>18</v>
      </c>
      <c r="C20" t="s">
        <v>53</v>
      </c>
      <c r="D20">
        <v>2</v>
      </c>
      <c r="E20">
        <v>1</v>
      </c>
      <c r="F20">
        <v>2</v>
      </c>
      <c r="G20" t="s">
        <v>111</v>
      </c>
      <c r="H20" t="s">
        <v>113</v>
      </c>
      <c r="K20" t="s">
        <v>48</v>
      </c>
      <c r="L20">
        <v>1</v>
      </c>
      <c r="N20">
        <v>1</v>
      </c>
      <c r="O20" t="s">
        <v>49</v>
      </c>
      <c r="P20" t="s">
        <v>50</v>
      </c>
      <c r="Q20" t="s">
        <v>51</v>
      </c>
      <c r="R20" t="s">
        <v>128</v>
      </c>
      <c r="S20" t="s">
        <v>56</v>
      </c>
      <c r="T20">
        <v>2</v>
      </c>
      <c r="V20">
        <v>1</v>
      </c>
      <c r="W20" t="s">
        <v>57</v>
      </c>
      <c r="AA20" t="s">
        <v>63</v>
      </c>
      <c r="AB20">
        <v>1</v>
      </c>
      <c r="AD20">
        <v>1</v>
      </c>
      <c r="AE20" t="s">
        <v>103</v>
      </c>
      <c r="AF20" t="s">
        <v>95</v>
      </c>
      <c r="AG20" t="s">
        <v>147</v>
      </c>
      <c r="AI20">
        <v>0</v>
      </c>
      <c r="AJ20">
        <v>13</v>
      </c>
    </row>
    <row r="21" spans="1:36" x14ac:dyDescent="0.25">
      <c r="A21" t="s">
        <v>307</v>
      </c>
      <c r="B21">
        <v>19</v>
      </c>
      <c r="C21" t="s">
        <v>56</v>
      </c>
      <c r="D21">
        <v>3</v>
      </c>
      <c r="F21">
        <v>1</v>
      </c>
      <c r="G21" t="s">
        <v>120</v>
      </c>
      <c r="H21" t="s">
        <v>69</v>
      </c>
      <c r="I21" t="s">
        <v>123</v>
      </c>
      <c r="K21" t="s">
        <v>38</v>
      </c>
      <c r="L21">
        <v>3</v>
      </c>
      <c r="M21">
        <v>1</v>
      </c>
      <c r="N21">
        <v>1</v>
      </c>
      <c r="O21" t="s">
        <v>152</v>
      </c>
      <c r="P21" t="s">
        <v>96</v>
      </c>
      <c r="Q21" t="s">
        <v>41</v>
      </c>
      <c r="S21" t="s">
        <v>53</v>
      </c>
      <c r="T21">
        <v>2</v>
      </c>
      <c r="U21">
        <v>2</v>
      </c>
      <c r="V21">
        <v>1</v>
      </c>
      <c r="W21" t="s">
        <v>112</v>
      </c>
      <c r="X21" t="s">
        <v>83</v>
      </c>
      <c r="Y21" t="s">
        <v>97</v>
      </c>
      <c r="AA21" t="s">
        <v>48</v>
      </c>
      <c r="AB21">
        <v>1</v>
      </c>
      <c r="AD21">
        <v>1</v>
      </c>
      <c r="AE21" t="s">
        <v>49</v>
      </c>
      <c r="AF21" t="s">
        <v>50</v>
      </c>
      <c r="AG21" t="s">
        <v>127</v>
      </c>
      <c r="AI21">
        <v>0</v>
      </c>
      <c r="AJ21">
        <v>18</v>
      </c>
    </row>
    <row r="22" spans="1:36" x14ac:dyDescent="0.25">
      <c r="A22" t="s">
        <v>308</v>
      </c>
      <c r="B22">
        <v>20</v>
      </c>
      <c r="C22" t="s">
        <v>53</v>
      </c>
      <c r="D22">
        <v>2</v>
      </c>
      <c r="E22">
        <v>1</v>
      </c>
      <c r="F22">
        <v>2</v>
      </c>
      <c r="G22" t="s">
        <v>112</v>
      </c>
      <c r="H22" t="s">
        <v>83</v>
      </c>
      <c r="I22" t="s">
        <v>105</v>
      </c>
      <c r="J22" t="s">
        <v>115</v>
      </c>
      <c r="K22" t="s">
        <v>48</v>
      </c>
      <c r="L22">
        <v>1</v>
      </c>
      <c r="N22">
        <v>1</v>
      </c>
      <c r="O22" t="s">
        <v>126</v>
      </c>
      <c r="P22" t="s">
        <v>84</v>
      </c>
      <c r="Q22" t="s">
        <v>51</v>
      </c>
      <c r="S22" t="s">
        <v>33</v>
      </c>
      <c r="T22">
        <v>1</v>
      </c>
      <c r="V22">
        <v>3</v>
      </c>
      <c r="W22" t="s">
        <v>65</v>
      </c>
      <c r="X22" t="s">
        <v>130</v>
      </c>
      <c r="Y22" t="s">
        <v>36</v>
      </c>
      <c r="AA22" t="s">
        <v>43</v>
      </c>
      <c r="AB22">
        <v>2</v>
      </c>
      <c r="AD22">
        <v>1</v>
      </c>
      <c r="AE22" t="s">
        <v>73</v>
      </c>
      <c r="AF22" t="s">
        <v>99</v>
      </c>
      <c r="AG22" t="s">
        <v>75</v>
      </c>
      <c r="AH22" t="s">
        <v>101</v>
      </c>
      <c r="AI22">
        <v>0</v>
      </c>
      <c r="AJ22">
        <v>20</v>
      </c>
    </row>
    <row r="23" spans="1:36" x14ac:dyDescent="0.25">
      <c r="A23" t="s">
        <v>309</v>
      </c>
      <c r="B23">
        <v>21</v>
      </c>
      <c r="C23" t="s">
        <v>33</v>
      </c>
      <c r="D23">
        <v>3</v>
      </c>
      <c r="F23">
        <v>3</v>
      </c>
      <c r="G23" t="s">
        <v>65</v>
      </c>
      <c r="H23" t="s">
        <v>130</v>
      </c>
      <c r="I23" t="s">
        <v>36</v>
      </c>
      <c r="J23" t="s">
        <v>134</v>
      </c>
      <c r="K23" t="s">
        <v>45</v>
      </c>
      <c r="L23">
        <v>3</v>
      </c>
      <c r="N23">
        <v>3</v>
      </c>
      <c r="O23" t="s">
        <v>47</v>
      </c>
      <c r="P23" t="s">
        <v>92</v>
      </c>
      <c r="Q23" t="s">
        <v>93</v>
      </c>
      <c r="R23" t="s">
        <v>144</v>
      </c>
      <c r="S23" t="s">
        <v>53</v>
      </c>
      <c r="T23">
        <v>2</v>
      </c>
      <c r="U23">
        <v>3</v>
      </c>
      <c r="V23">
        <v>2</v>
      </c>
      <c r="W23" t="s">
        <v>112</v>
      </c>
      <c r="X23" t="s">
        <v>83</v>
      </c>
      <c r="Y23" t="s">
        <v>105</v>
      </c>
      <c r="Z23" t="s">
        <v>98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27</v>
      </c>
    </row>
    <row r="24" spans="1:36" x14ac:dyDescent="0.25">
      <c r="A24" t="s">
        <v>310</v>
      </c>
      <c r="B24">
        <v>22</v>
      </c>
      <c r="C24" t="s">
        <v>33</v>
      </c>
      <c r="D24">
        <v>1</v>
      </c>
      <c r="F24">
        <v>3</v>
      </c>
      <c r="G24" t="s">
        <v>65</v>
      </c>
      <c r="H24" t="s">
        <v>66</v>
      </c>
      <c r="I24" t="s">
        <v>131</v>
      </c>
      <c r="K24" t="s">
        <v>63</v>
      </c>
      <c r="L24">
        <v>2</v>
      </c>
      <c r="N24">
        <v>1</v>
      </c>
      <c r="O24" t="s">
        <v>103</v>
      </c>
      <c r="P24" t="s">
        <v>95</v>
      </c>
      <c r="Q24" t="s">
        <v>148</v>
      </c>
      <c r="R24" t="s">
        <v>151</v>
      </c>
      <c r="S24" t="s">
        <v>53</v>
      </c>
      <c r="T24">
        <v>2</v>
      </c>
      <c r="U24">
        <v>1</v>
      </c>
      <c r="V24">
        <v>1</v>
      </c>
      <c r="W24" t="s">
        <v>112</v>
      </c>
      <c r="X24" t="s">
        <v>113</v>
      </c>
      <c r="AA24" t="s">
        <v>48</v>
      </c>
      <c r="AB24">
        <v>3</v>
      </c>
      <c r="AD24">
        <v>1</v>
      </c>
      <c r="AE24" t="s">
        <v>89</v>
      </c>
      <c r="AF24" t="s">
        <v>71</v>
      </c>
      <c r="AG24" t="s">
        <v>127</v>
      </c>
      <c r="AI24">
        <v>0</v>
      </c>
      <c r="AJ24">
        <v>18</v>
      </c>
    </row>
    <row r="25" spans="1:36" x14ac:dyDescent="0.25">
      <c r="A25" s="36" t="s">
        <v>311</v>
      </c>
      <c r="B25">
        <v>23</v>
      </c>
      <c r="C25" t="s">
        <v>33</v>
      </c>
      <c r="D25">
        <v>2</v>
      </c>
      <c r="F25">
        <v>2</v>
      </c>
      <c r="G25" t="s">
        <v>65</v>
      </c>
      <c r="H25" t="s">
        <v>130</v>
      </c>
      <c r="I25" t="s">
        <v>36</v>
      </c>
      <c r="J25" t="s">
        <v>134</v>
      </c>
      <c r="K25" t="s">
        <v>38</v>
      </c>
      <c r="L25">
        <v>3</v>
      </c>
      <c r="M25">
        <v>2</v>
      </c>
      <c r="N25">
        <v>1</v>
      </c>
      <c r="O25" t="s">
        <v>152</v>
      </c>
      <c r="P25" t="s">
        <v>70</v>
      </c>
      <c r="Q25" t="s">
        <v>41</v>
      </c>
      <c r="R25" t="s">
        <v>42</v>
      </c>
      <c r="S25" t="s">
        <v>53</v>
      </c>
      <c r="T25">
        <v>1</v>
      </c>
      <c r="U25">
        <v>3</v>
      </c>
      <c r="V25">
        <v>1</v>
      </c>
      <c r="W25" t="s">
        <v>112</v>
      </c>
      <c r="X25" t="s">
        <v>83</v>
      </c>
      <c r="Y25" t="s">
        <v>105</v>
      </c>
      <c r="Z25" t="s">
        <v>115</v>
      </c>
      <c r="AA25" t="s">
        <v>48</v>
      </c>
      <c r="AB25">
        <v>1</v>
      </c>
      <c r="AD25">
        <v>1</v>
      </c>
      <c r="AE25" t="s">
        <v>126</v>
      </c>
      <c r="AF25" t="s">
        <v>84</v>
      </c>
      <c r="AG25" t="s">
        <v>127</v>
      </c>
      <c r="AI25">
        <v>0</v>
      </c>
      <c r="AJ25">
        <v>23</v>
      </c>
    </row>
    <row r="26" spans="1:36" x14ac:dyDescent="0.25">
      <c r="A26" t="s">
        <v>312</v>
      </c>
      <c r="B26">
        <v>24</v>
      </c>
      <c r="C26" t="s">
        <v>43</v>
      </c>
      <c r="D26">
        <v>3</v>
      </c>
      <c r="F26">
        <v>3</v>
      </c>
      <c r="G26" t="s">
        <v>44</v>
      </c>
      <c r="H26" t="s">
        <v>99</v>
      </c>
      <c r="I26" t="s">
        <v>75</v>
      </c>
      <c r="J26" t="s">
        <v>138</v>
      </c>
      <c r="K26" t="s">
        <v>45</v>
      </c>
      <c r="L26">
        <v>3</v>
      </c>
      <c r="N26">
        <v>3</v>
      </c>
      <c r="O26" t="s">
        <v>140</v>
      </c>
      <c r="P26" t="s">
        <v>92</v>
      </c>
      <c r="Q26" t="s">
        <v>93</v>
      </c>
      <c r="R26" t="s">
        <v>94</v>
      </c>
      <c r="S26" t="s">
        <v>53</v>
      </c>
      <c r="T26">
        <v>3</v>
      </c>
      <c r="U26">
        <v>3</v>
      </c>
      <c r="V26">
        <v>3</v>
      </c>
      <c r="W26" t="s">
        <v>112</v>
      </c>
      <c r="X26" t="s">
        <v>55</v>
      </c>
      <c r="Y26" t="s">
        <v>114</v>
      </c>
      <c r="Z26" t="s">
        <v>98</v>
      </c>
      <c r="AA26" t="s">
        <v>48</v>
      </c>
      <c r="AB26">
        <v>1</v>
      </c>
      <c r="AD26">
        <v>2</v>
      </c>
      <c r="AE26" t="s">
        <v>126</v>
      </c>
      <c r="AI26">
        <v>0</v>
      </c>
      <c r="AJ26">
        <v>33</v>
      </c>
    </row>
    <row r="27" spans="1:36" x14ac:dyDescent="0.25">
      <c r="A27" t="s">
        <v>313</v>
      </c>
      <c r="B27">
        <v>25</v>
      </c>
      <c r="C27" t="s">
        <v>53</v>
      </c>
      <c r="D27">
        <v>1</v>
      </c>
      <c r="E27">
        <v>2</v>
      </c>
      <c r="F27">
        <v>1</v>
      </c>
      <c r="G27" t="s">
        <v>112</v>
      </c>
      <c r="H27" t="s">
        <v>113</v>
      </c>
      <c r="I27" t="s">
        <v>114</v>
      </c>
      <c r="J27" t="s">
        <v>98</v>
      </c>
      <c r="K27" t="s">
        <v>48</v>
      </c>
      <c r="L27">
        <v>2</v>
      </c>
      <c r="N27">
        <v>1</v>
      </c>
      <c r="O27" t="s">
        <v>89</v>
      </c>
      <c r="P27" t="s">
        <v>71</v>
      </c>
      <c r="Q27" t="s">
        <v>127</v>
      </c>
      <c r="S27" t="s">
        <v>43</v>
      </c>
      <c r="T27">
        <v>2</v>
      </c>
      <c r="V27">
        <v>1</v>
      </c>
      <c r="W27" t="s">
        <v>44</v>
      </c>
      <c r="X27" t="s">
        <v>136</v>
      </c>
      <c r="AA27" t="s">
        <v>63</v>
      </c>
      <c r="AB27">
        <v>2</v>
      </c>
      <c r="AD27">
        <v>1</v>
      </c>
      <c r="AE27" t="s">
        <v>103</v>
      </c>
      <c r="AF27" t="s">
        <v>95</v>
      </c>
      <c r="AG27" t="s">
        <v>147</v>
      </c>
      <c r="AI27">
        <v>0</v>
      </c>
      <c r="AJ27">
        <v>17</v>
      </c>
    </row>
    <row r="28" spans="1:36" x14ac:dyDescent="0.25">
      <c r="A28" t="s">
        <v>314</v>
      </c>
      <c r="B28">
        <v>26</v>
      </c>
      <c r="C28" t="s">
        <v>53</v>
      </c>
      <c r="D28">
        <v>1</v>
      </c>
      <c r="E28">
        <v>3</v>
      </c>
      <c r="F28">
        <v>1</v>
      </c>
      <c r="G28" t="s">
        <v>112</v>
      </c>
      <c r="H28" t="s">
        <v>113</v>
      </c>
      <c r="I28" t="s">
        <v>114</v>
      </c>
      <c r="J28" t="s">
        <v>116</v>
      </c>
      <c r="K28" t="s">
        <v>48</v>
      </c>
      <c r="L28">
        <v>3</v>
      </c>
      <c r="N28">
        <v>1</v>
      </c>
      <c r="O28" t="s">
        <v>89</v>
      </c>
      <c r="P28" t="s">
        <v>84</v>
      </c>
      <c r="Q28" t="s">
        <v>90</v>
      </c>
      <c r="R28" t="s">
        <v>128</v>
      </c>
      <c r="S28" t="s">
        <v>43</v>
      </c>
      <c r="T28">
        <v>2</v>
      </c>
      <c r="V28">
        <v>1</v>
      </c>
      <c r="W28" t="s">
        <v>44</v>
      </c>
      <c r="X28" t="s">
        <v>136</v>
      </c>
      <c r="AA28" t="s">
        <v>38</v>
      </c>
      <c r="AB28">
        <v>3</v>
      </c>
      <c r="AC28">
        <v>2</v>
      </c>
      <c r="AD28">
        <v>1</v>
      </c>
      <c r="AE28" t="s">
        <v>152</v>
      </c>
      <c r="AF28" t="s">
        <v>40</v>
      </c>
      <c r="AG28" t="s">
        <v>153</v>
      </c>
      <c r="AH28" t="s">
        <v>155</v>
      </c>
      <c r="AI28">
        <v>0</v>
      </c>
      <c r="AJ28">
        <v>23</v>
      </c>
    </row>
    <row r="29" spans="1:36" x14ac:dyDescent="0.25">
      <c r="A29" t="s">
        <v>315</v>
      </c>
      <c r="B29">
        <v>27</v>
      </c>
      <c r="C29" t="s">
        <v>53</v>
      </c>
      <c r="D29">
        <v>3</v>
      </c>
      <c r="E29">
        <v>1</v>
      </c>
      <c r="F29">
        <v>1</v>
      </c>
      <c r="G29" t="s">
        <v>111</v>
      </c>
      <c r="H29" t="s">
        <v>113</v>
      </c>
      <c r="I29" t="s">
        <v>114</v>
      </c>
      <c r="J29" t="s">
        <v>116</v>
      </c>
      <c r="K29" t="s">
        <v>48</v>
      </c>
      <c r="L29">
        <v>1</v>
      </c>
      <c r="N29">
        <v>1</v>
      </c>
      <c r="O29" t="s">
        <v>89</v>
      </c>
      <c r="P29" t="s">
        <v>84</v>
      </c>
      <c r="Q29" t="s">
        <v>51</v>
      </c>
      <c r="R29" t="s">
        <v>129</v>
      </c>
      <c r="S29" t="s">
        <v>45</v>
      </c>
      <c r="T29">
        <v>2</v>
      </c>
      <c r="V29">
        <v>1</v>
      </c>
      <c r="W29" t="s">
        <v>86</v>
      </c>
      <c r="AA29" t="s">
        <v>63</v>
      </c>
      <c r="AB29">
        <v>2</v>
      </c>
      <c r="AD29">
        <v>1</v>
      </c>
      <c r="AE29" t="s">
        <v>103</v>
      </c>
      <c r="AF29" t="s">
        <v>95</v>
      </c>
      <c r="AG29" t="s">
        <v>104</v>
      </c>
      <c r="AI29">
        <v>0</v>
      </c>
      <c r="AJ29">
        <v>17</v>
      </c>
    </row>
    <row r="30" spans="1:36" x14ac:dyDescent="0.25">
      <c r="A30" t="s">
        <v>316</v>
      </c>
      <c r="B30">
        <v>28</v>
      </c>
      <c r="C30" t="s">
        <v>45</v>
      </c>
      <c r="D30">
        <v>3</v>
      </c>
      <c r="F30">
        <v>1</v>
      </c>
      <c r="G30" t="s">
        <v>86</v>
      </c>
      <c r="H30" t="s">
        <v>141</v>
      </c>
      <c r="K30" t="s">
        <v>38</v>
      </c>
      <c r="L30">
        <v>3</v>
      </c>
      <c r="M30">
        <v>1</v>
      </c>
      <c r="N30">
        <v>1</v>
      </c>
      <c r="O30" t="s">
        <v>152</v>
      </c>
      <c r="P30" t="s">
        <v>40</v>
      </c>
      <c r="Q30" t="s">
        <v>41</v>
      </c>
      <c r="R30" t="s">
        <v>155</v>
      </c>
      <c r="S30" t="s">
        <v>53</v>
      </c>
      <c r="T30">
        <v>1</v>
      </c>
      <c r="U30">
        <v>1</v>
      </c>
      <c r="V30">
        <v>3</v>
      </c>
      <c r="W30" t="s">
        <v>112</v>
      </c>
      <c r="X30" t="s">
        <v>55</v>
      </c>
      <c r="Y30" t="s">
        <v>97</v>
      </c>
      <c r="AA30" t="s">
        <v>48</v>
      </c>
      <c r="AB30">
        <v>1</v>
      </c>
      <c r="AD30">
        <v>1</v>
      </c>
      <c r="AE30" t="s">
        <v>89</v>
      </c>
      <c r="AF30" t="s">
        <v>50</v>
      </c>
      <c r="AI30">
        <v>0</v>
      </c>
      <c r="AJ30">
        <v>17</v>
      </c>
    </row>
    <row r="31" spans="1:36" x14ac:dyDescent="0.25">
      <c r="A31" t="s">
        <v>317</v>
      </c>
      <c r="B31">
        <v>29</v>
      </c>
      <c r="C31" t="s">
        <v>63</v>
      </c>
      <c r="D31">
        <v>1</v>
      </c>
      <c r="F31">
        <v>1</v>
      </c>
      <c r="G31" t="s">
        <v>103</v>
      </c>
      <c r="H31" t="s">
        <v>95</v>
      </c>
      <c r="I31" t="s">
        <v>147</v>
      </c>
      <c r="K31" t="s">
        <v>38</v>
      </c>
      <c r="L31">
        <v>3</v>
      </c>
      <c r="M31">
        <v>1</v>
      </c>
      <c r="N31">
        <v>1</v>
      </c>
      <c r="O31" t="s">
        <v>67</v>
      </c>
      <c r="S31" t="s">
        <v>53</v>
      </c>
      <c r="T31">
        <v>2</v>
      </c>
      <c r="U31">
        <v>1</v>
      </c>
      <c r="V31">
        <v>1</v>
      </c>
      <c r="W31" t="s">
        <v>111</v>
      </c>
      <c r="X31" t="s">
        <v>83</v>
      </c>
      <c r="AA31" t="s">
        <v>48</v>
      </c>
      <c r="AB31">
        <v>1</v>
      </c>
      <c r="AD31">
        <v>1</v>
      </c>
      <c r="AE31" t="s">
        <v>89</v>
      </c>
      <c r="AF31" t="s">
        <v>50</v>
      </c>
      <c r="AI31">
        <v>0</v>
      </c>
      <c r="AJ31">
        <v>12</v>
      </c>
    </row>
    <row r="32" spans="1:36" x14ac:dyDescent="0.25">
      <c r="A32" t="s">
        <v>318</v>
      </c>
      <c r="B32">
        <v>30</v>
      </c>
      <c r="C32" t="s">
        <v>53</v>
      </c>
      <c r="D32">
        <v>2</v>
      </c>
      <c r="E32">
        <v>2</v>
      </c>
      <c r="F32">
        <v>1</v>
      </c>
      <c r="G32" t="s">
        <v>112</v>
      </c>
      <c r="H32" t="s">
        <v>55</v>
      </c>
      <c r="I32" t="s">
        <v>114</v>
      </c>
      <c r="K32" t="s">
        <v>33</v>
      </c>
      <c r="L32">
        <v>1</v>
      </c>
      <c r="N32">
        <v>2</v>
      </c>
      <c r="O32" t="s">
        <v>65</v>
      </c>
      <c r="P32" t="s">
        <v>130</v>
      </c>
      <c r="Q32" t="s">
        <v>36</v>
      </c>
      <c r="R32" t="s">
        <v>134</v>
      </c>
      <c r="S32" t="s">
        <v>56</v>
      </c>
      <c r="T32">
        <v>3</v>
      </c>
      <c r="V32">
        <v>2</v>
      </c>
      <c r="W32" t="s">
        <v>120</v>
      </c>
      <c r="X32" t="s">
        <v>121</v>
      </c>
      <c r="AA32" t="s">
        <v>48</v>
      </c>
      <c r="AB32">
        <v>1</v>
      </c>
      <c r="AD32">
        <v>1</v>
      </c>
      <c r="AE32" t="s">
        <v>126</v>
      </c>
      <c r="AF32" t="s">
        <v>84</v>
      </c>
      <c r="AI32">
        <v>0</v>
      </c>
      <c r="AJ32">
        <v>18</v>
      </c>
    </row>
    <row r="33" spans="1:36" x14ac:dyDescent="0.25">
      <c r="A33" t="s">
        <v>319</v>
      </c>
      <c r="B33">
        <v>31</v>
      </c>
      <c r="C33" t="s">
        <v>56</v>
      </c>
      <c r="D33">
        <v>3</v>
      </c>
      <c r="F33">
        <v>1</v>
      </c>
      <c r="G33" t="s">
        <v>120</v>
      </c>
      <c r="H33" t="s">
        <v>121</v>
      </c>
      <c r="I33" t="s">
        <v>87</v>
      </c>
      <c r="J33" t="s">
        <v>88</v>
      </c>
      <c r="K33" t="s">
        <v>43</v>
      </c>
      <c r="L33">
        <v>3</v>
      </c>
      <c r="N33">
        <v>1</v>
      </c>
      <c r="O33" t="s">
        <v>44</v>
      </c>
      <c r="P33" t="s">
        <v>99</v>
      </c>
      <c r="Q33" t="s">
        <v>75</v>
      </c>
      <c r="R33" t="s">
        <v>139</v>
      </c>
      <c r="S33" t="s">
        <v>53</v>
      </c>
      <c r="T33">
        <v>2</v>
      </c>
      <c r="U33">
        <v>2</v>
      </c>
      <c r="V33">
        <v>2</v>
      </c>
      <c r="W33" t="s">
        <v>112</v>
      </c>
      <c r="X33" t="s">
        <v>55</v>
      </c>
      <c r="Y33" t="s">
        <v>97</v>
      </c>
      <c r="AA33" t="s">
        <v>33</v>
      </c>
      <c r="AB33">
        <v>1</v>
      </c>
      <c r="AD33">
        <v>3</v>
      </c>
      <c r="AE33" t="s">
        <v>65</v>
      </c>
      <c r="AI33">
        <v>0</v>
      </c>
      <c r="AJ33">
        <v>21</v>
      </c>
    </row>
    <row r="34" spans="1:36" x14ac:dyDescent="0.25">
      <c r="A34" t="s">
        <v>320</v>
      </c>
      <c r="B34">
        <v>32</v>
      </c>
      <c r="C34" t="s">
        <v>53</v>
      </c>
      <c r="D34">
        <v>1</v>
      </c>
      <c r="E34">
        <v>2</v>
      </c>
      <c r="F34">
        <v>1</v>
      </c>
      <c r="G34" t="s">
        <v>112</v>
      </c>
      <c r="H34" t="s">
        <v>113</v>
      </c>
      <c r="I34" t="s">
        <v>105</v>
      </c>
      <c r="K34" t="s">
        <v>33</v>
      </c>
      <c r="L34">
        <v>3</v>
      </c>
      <c r="N34">
        <v>3</v>
      </c>
      <c r="O34" t="s">
        <v>65</v>
      </c>
      <c r="P34" t="s">
        <v>130</v>
      </c>
      <c r="Q34" t="s">
        <v>36</v>
      </c>
      <c r="S34" t="s">
        <v>56</v>
      </c>
      <c r="T34">
        <v>3</v>
      </c>
      <c r="V34">
        <v>2</v>
      </c>
      <c r="W34" t="s">
        <v>120</v>
      </c>
      <c r="X34" t="s">
        <v>121</v>
      </c>
      <c r="Y34" t="s">
        <v>87</v>
      </c>
      <c r="AA34" t="s">
        <v>45</v>
      </c>
      <c r="AB34">
        <v>3</v>
      </c>
      <c r="AD34">
        <v>2</v>
      </c>
      <c r="AE34" t="s">
        <v>140</v>
      </c>
      <c r="AI34">
        <v>0</v>
      </c>
      <c r="AJ34">
        <v>21</v>
      </c>
    </row>
    <row r="35" spans="1:36" x14ac:dyDescent="0.25">
      <c r="A35" t="s">
        <v>321</v>
      </c>
      <c r="B35">
        <v>33</v>
      </c>
      <c r="C35" t="s">
        <v>53</v>
      </c>
      <c r="D35">
        <v>1</v>
      </c>
      <c r="E35">
        <v>1</v>
      </c>
      <c r="F35">
        <v>2</v>
      </c>
      <c r="G35" t="s">
        <v>112</v>
      </c>
      <c r="H35" t="s">
        <v>113</v>
      </c>
      <c r="K35" t="s">
        <v>33</v>
      </c>
      <c r="L35">
        <v>2</v>
      </c>
      <c r="N35">
        <v>2</v>
      </c>
      <c r="O35" t="s">
        <v>34</v>
      </c>
      <c r="P35" t="s">
        <v>66</v>
      </c>
      <c r="Q35" t="s">
        <v>36</v>
      </c>
      <c r="S35" t="s">
        <v>56</v>
      </c>
      <c r="T35">
        <v>3</v>
      </c>
      <c r="V35">
        <v>1</v>
      </c>
      <c r="W35" t="s">
        <v>57</v>
      </c>
      <c r="X35" t="s">
        <v>122</v>
      </c>
      <c r="AA35" t="s">
        <v>63</v>
      </c>
      <c r="AB35">
        <v>1</v>
      </c>
      <c r="AD35">
        <v>1</v>
      </c>
      <c r="AE35" t="s">
        <v>145</v>
      </c>
      <c r="AF35" t="s">
        <v>95</v>
      </c>
      <c r="AG35" t="s">
        <v>148</v>
      </c>
      <c r="AI35">
        <v>0</v>
      </c>
      <c r="AJ35">
        <v>15</v>
      </c>
    </row>
    <row r="36" spans="1:36" x14ac:dyDescent="0.25">
      <c r="A36" t="s">
        <v>322</v>
      </c>
      <c r="B36">
        <v>34</v>
      </c>
      <c r="C36" t="s">
        <v>56</v>
      </c>
      <c r="D36">
        <v>3</v>
      </c>
      <c r="F36">
        <v>1</v>
      </c>
      <c r="G36" t="s">
        <v>120</v>
      </c>
      <c r="H36" t="s">
        <v>69</v>
      </c>
      <c r="K36" t="s">
        <v>38</v>
      </c>
      <c r="L36">
        <v>1</v>
      </c>
      <c r="M36">
        <v>1</v>
      </c>
      <c r="N36">
        <v>2</v>
      </c>
      <c r="O36" t="s">
        <v>67</v>
      </c>
      <c r="P36" t="s">
        <v>40</v>
      </c>
      <c r="Q36" t="s">
        <v>154</v>
      </c>
      <c r="R36" t="s">
        <v>155</v>
      </c>
      <c r="S36" t="s">
        <v>53</v>
      </c>
      <c r="T36">
        <v>1</v>
      </c>
      <c r="U36">
        <v>2</v>
      </c>
      <c r="V36">
        <v>1</v>
      </c>
      <c r="W36" t="s">
        <v>112</v>
      </c>
      <c r="X36" t="s">
        <v>55</v>
      </c>
      <c r="Y36" t="s">
        <v>97</v>
      </c>
      <c r="Z36" t="s">
        <v>115</v>
      </c>
      <c r="AA36" t="s">
        <v>33</v>
      </c>
      <c r="AB36">
        <v>1</v>
      </c>
      <c r="AD36">
        <v>2</v>
      </c>
      <c r="AE36" t="s">
        <v>65</v>
      </c>
      <c r="AI36">
        <v>0</v>
      </c>
      <c r="AJ36">
        <v>17</v>
      </c>
    </row>
    <row r="37" spans="1:36" x14ac:dyDescent="0.25">
      <c r="A37" t="s">
        <v>323</v>
      </c>
      <c r="B37">
        <v>35</v>
      </c>
      <c r="C37" t="s">
        <v>53</v>
      </c>
      <c r="D37">
        <v>2</v>
      </c>
      <c r="E37">
        <v>1</v>
      </c>
      <c r="F37">
        <v>2</v>
      </c>
      <c r="G37" t="s">
        <v>112</v>
      </c>
      <c r="H37" t="s">
        <v>55</v>
      </c>
      <c r="I37" t="s">
        <v>114</v>
      </c>
      <c r="K37" t="s">
        <v>33</v>
      </c>
      <c r="L37">
        <v>3</v>
      </c>
      <c r="N37">
        <v>2</v>
      </c>
      <c r="O37" t="s">
        <v>65</v>
      </c>
      <c r="P37" t="s">
        <v>66</v>
      </c>
      <c r="S37" t="s">
        <v>48</v>
      </c>
      <c r="T37">
        <v>2</v>
      </c>
      <c r="V37">
        <v>1</v>
      </c>
      <c r="W37" t="s">
        <v>49</v>
      </c>
      <c r="X37" t="s">
        <v>84</v>
      </c>
      <c r="Y37" t="s">
        <v>127</v>
      </c>
      <c r="AA37" t="s">
        <v>43</v>
      </c>
      <c r="AB37">
        <v>2</v>
      </c>
      <c r="AD37">
        <v>1</v>
      </c>
      <c r="AE37" t="s">
        <v>44</v>
      </c>
      <c r="AF37" t="s">
        <v>136</v>
      </c>
      <c r="AI37">
        <v>0</v>
      </c>
      <c r="AJ37">
        <v>17</v>
      </c>
    </row>
    <row r="38" spans="1:36" x14ac:dyDescent="0.25">
      <c r="A38" t="s">
        <v>324</v>
      </c>
      <c r="B38">
        <v>36</v>
      </c>
      <c r="C38" t="s">
        <v>53</v>
      </c>
      <c r="D38">
        <v>3</v>
      </c>
      <c r="E38">
        <v>3</v>
      </c>
      <c r="F38">
        <v>3</v>
      </c>
      <c r="G38" t="s">
        <v>112</v>
      </c>
      <c r="H38" t="s">
        <v>55</v>
      </c>
      <c r="I38" t="s">
        <v>105</v>
      </c>
      <c r="J38" t="s">
        <v>116</v>
      </c>
      <c r="K38" t="s">
        <v>33</v>
      </c>
      <c r="L38">
        <v>2</v>
      </c>
      <c r="N38">
        <v>2</v>
      </c>
      <c r="O38" t="s">
        <v>65</v>
      </c>
      <c r="S38" t="s">
        <v>48</v>
      </c>
      <c r="T38">
        <v>2</v>
      </c>
      <c r="V38">
        <v>2</v>
      </c>
      <c r="W38" t="s">
        <v>49</v>
      </c>
      <c r="X38" t="s">
        <v>50</v>
      </c>
      <c r="Y38" t="s">
        <v>51</v>
      </c>
      <c r="Z38" t="s">
        <v>129</v>
      </c>
      <c r="AA38" t="s">
        <v>45</v>
      </c>
      <c r="AB38">
        <v>3</v>
      </c>
      <c r="AD38">
        <v>3</v>
      </c>
      <c r="AE38" t="s">
        <v>86</v>
      </c>
      <c r="AF38" t="s">
        <v>76</v>
      </c>
      <c r="AG38" t="s">
        <v>93</v>
      </c>
      <c r="AH38" t="s">
        <v>94</v>
      </c>
      <c r="AI38">
        <v>0</v>
      </c>
      <c r="AJ38">
        <v>35</v>
      </c>
    </row>
    <row r="39" spans="1:36" x14ac:dyDescent="0.25">
      <c r="A39" t="s">
        <v>325</v>
      </c>
      <c r="B39">
        <v>37</v>
      </c>
      <c r="C39" t="s">
        <v>53</v>
      </c>
      <c r="D39">
        <v>1</v>
      </c>
      <c r="E39">
        <v>1</v>
      </c>
      <c r="F39">
        <v>1</v>
      </c>
      <c r="G39" t="s">
        <v>111</v>
      </c>
      <c r="H39" t="s">
        <v>113</v>
      </c>
      <c r="I39" t="s">
        <v>105</v>
      </c>
      <c r="K39" t="s">
        <v>33</v>
      </c>
      <c r="L39">
        <v>2</v>
      </c>
      <c r="N39">
        <v>2</v>
      </c>
      <c r="O39" t="s">
        <v>34</v>
      </c>
      <c r="P39" t="s">
        <v>66</v>
      </c>
      <c r="Q39" t="s">
        <v>36</v>
      </c>
      <c r="S39" t="s">
        <v>48</v>
      </c>
      <c r="T39">
        <v>1</v>
      </c>
      <c r="V39">
        <v>1</v>
      </c>
      <c r="W39" t="s">
        <v>89</v>
      </c>
      <c r="X39" t="s">
        <v>50</v>
      </c>
      <c r="Y39" t="s">
        <v>127</v>
      </c>
      <c r="AA39" t="s">
        <v>63</v>
      </c>
      <c r="AB39">
        <v>2</v>
      </c>
      <c r="AD39">
        <v>1</v>
      </c>
      <c r="AE39" t="s">
        <v>72</v>
      </c>
      <c r="AF39" t="s">
        <v>95</v>
      </c>
      <c r="AG39" t="s">
        <v>104</v>
      </c>
      <c r="AI39">
        <v>0</v>
      </c>
      <c r="AJ39">
        <v>15</v>
      </c>
    </row>
    <row r="40" spans="1:36" x14ac:dyDescent="0.25">
      <c r="A40" t="s">
        <v>326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112</v>
      </c>
      <c r="H40" t="s">
        <v>83</v>
      </c>
      <c r="I40" t="s">
        <v>105</v>
      </c>
      <c r="J40" t="s">
        <v>98</v>
      </c>
      <c r="K40" t="s">
        <v>33</v>
      </c>
      <c r="L40">
        <v>3</v>
      </c>
      <c r="N40">
        <v>1</v>
      </c>
      <c r="O40" t="s">
        <v>65</v>
      </c>
      <c r="S40" t="s">
        <v>48</v>
      </c>
      <c r="T40">
        <v>1</v>
      </c>
      <c r="V40">
        <v>1</v>
      </c>
      <c r="W40" t="s">
        <v>49</v>
      </c>
      <c r="X40" t="s">
        <v>50</v>
      </c>
      <c r="AA40" t="s">
        <v>38</v>
      </c>
      <c r="AB40">
        <v>3</v>
      </c>
      <c r="AC40">
        <v>1</v>
      </c>
      <c r="AD40">
        <v>1</v>
      </c>
      <c r="AE40" t="s">
        <v>67</v>
      </c>
      <c r="AF40" t="s">
        <v>96</v>
      </c>
      <c r="AG40" t="s">
        <v>41</v>
      </c>
      <c r="AI40">
        <v>0</v>
      </c>
      <c r="AJ40">
        <v>15</v>
      </c>
    </row>
    <row r="41" spans="1:36" x14ac:dyDescent="0.25">
      <c r="A41" t="s">
        <v>327</v>
      </c>
      <c r="B41">
        <v>39</v>
      </c>
      <c r="C41" t="s">
        <v>53</v>
      </c>
      <c r="D41">
        <v>2</v>
      </c>
      <c r="E41">
        <v>1</v>
      </c>
      <c r="F41">
        <v>3</v>
      </c>
      <c r="G41" t="s">
        <v>112</v>
      </c>
      <c r="H41" t="s">
        <v>55</v>
      </c>
      <c r="I41" t="s">
        <v>97</v>
      </c>
      <c r="J41" t="s">
        <v>98</v>
      </c>
      <c r="K41" t="s">
        <v>33</v>
      </c>
      <c r="L41">
        <v>3</v>
      </c>
      <c r="N41">
        <v>3</v>
      </c>
      <c r="O41" t="s">
        <v>65</v>
      </c>
      <c r="P41" t="s">
        <v>130</v>
      </c>
      <c r="S41" t="s">
        <v>43</v>
      </c>
      <c r="T41">
        <v>3</v>
      </c>
      <c r="V41">
        <v>1</v>
      </c>
      <c r="W41" t="s">
        <v>44</v>
      </c>
      <c r="X41" t="s">
        <v>136</v>
      </c>
      <c r="AA41" t="s">
        <v>45</v>
      </c>
      <c r="AB41">
        <v>3</v>
      </c>
      <c r="AD41">
        <v>2</v>
      </c>
      <c r="AE41" t="s">
        <v>140</v>
      </c>
      <c r="AF41" t="s">
        <v>141</v>
      </c>
      <c r="AG41" t="s">
        <v>102</v>
      </c>
      <c r="AH41" t="s">
        <v>143</v>
      </c>
      <c r="AI41">
        <v>0</v>
      </c>
      <c r="AJ41">
        <v>24</v>
      </c>
    </row>
    <row r="42" spans="1:36" x14ac:dyDescent="0.25">
      <c r="A42" t="s">
        <v>328</v>
      </c>
      <c r="B42">
        <v>40</v>
      </c>
      <c r="C42" t="s">
        <v>53</v>
      </c>
      <c r="D42">
        <v>1</v>
      </c>
      <c r="E42">
        <v>3</v>
      </c>
      <c r="F42">
        <v>1</v>
      </c>
      <c r="G42" t="s">
        <v>112</v>
      </c>
      <c r="H42" t="s">
        <v>113</v>
      </c>
      <c r="K42" t="s">
        <v>33</v>
      </c>
      <c r="L42">
        <v>2</v>
      </c>
      <c r="N42">
        <v>2</v>
      </c>
      <c r="O42" t="s">
        <v>34</v>
      </c>
      <c r="P42" t="s">
        <v>66</v>
      </c>
      <c r="Q42" t="s">
        <v>36</v>
      </c>
      <c r="S42" t="s">
        <v>43</v>
      </c>
      <c r="T42">
        <v>3</v>
      </c>
      <c r="V42">
        <v>1</v>
      </c>
      <c r="W42" t="s">
        <v>44</v>
      </c>
      <c r="AA42" t="s">
        <v>63</v>
      </c>
      <c r="AB42">
        <v>3</v>
      </c>
      <c r="AD42">
        <v>1</v>
      </c>
      <c r="AE42" t="s">
        <v>72</v>
      </c>
      <c r="AF42" t="s">
        <v>95</v>
      </c>
      <c r="AI42">
        <v>0</v>
      </c>
      <c r="AJ42">
        <v>16</v>
      </c>
    </row>
    <row r="43" spans="1:36" x14ac:dyDescent="0.25">
      <c r="A43" t="s">
        <v>329</v>
      </c>
      <c r="B43">
        <v>41</v>
      </c>
      <c r="C43" t="s">
        <v>43</v>
      </c>
      <c r="D43">
        <v>3</v>
      </c>
      <c r="F43">
        <v>2</v>
      </c>
      <c r="G43" t="s">
        <v>44</v>
      </c>
      <c r="H43" t="s">
        <v>99</v>
      </c>
      <c r="K43" t="s">
        <v>38</v>
      </c>
      <c r="L43">
        <v>3</v>
      </c>
      <c r="M43">
        <v>1</v>
      </c>
      <c r="N43">
        <v>2</v>
      </c>
      <c r="O43" t="s">
        <v>67</v>
      </c>
      <c r="P43" t="s">
        <v>40</v>
      </c>
      <c r="S43" t="s">
        <v>53</v>
      </c>
      <c r="T43">
        <v>1</v>
      </c>
      <c r="U43">
        <v>3</v>
      </c>
      <c r="V43">
        <v>2</v>
      </c>
      <c r="W43" t="s">
        <v>112</v>
      </c>
      <c r="AA43" t="s">
        <v>33</v>
      </c>
      <c r="AB43">
        <v>2</v>
      </c>
      <c r="AD43">
        <v>3</v>
      </c>
      <c r="AE43" t="s">
        <v>65</v>
      </c>
      <c r="AI43">
        <v>0</v>
      </c>
      <c r="AJ43">
        <v>18</v>
      </c>
    </row>
    <row r="44" spans="1:36" x14ac:dyDescent="0.25">
      <c r="A44" t="s">
        <v>330</v>
      </c>
      <c r="B44">
        <v>42</v>
      </c>
      <c r="C44" t="s">
        <v>53</v>
      </c>
      <c r="D44">
        <v>2</v>
      </c>
      <c r="E44">
        <v>1</v>
      </c>
      <c r="F44">
        <v>2</v>
      </c>
      <c r="G44" t="s">
        <v>111</v>
      </c>
      <c r="H44" t="s">
        <v>113</v>
      </c>
      <c r="I44" t="s">
        <v>97</v>
      </c>
      <c r="J44" t="s">
        <v>116</v>
      </c>
      <c r="K44" t="s">
        <v>33</v>
      </c>
      <c r="L44">
        <v>2</v>
      </c>
      <c r="N44">
        <v>2</v>
      </c>
      <c r="O44" t="s">
        <v>65</v>
      </c>
      <c r="P44" t="s">
        <v>66</v>
      </c>
      <c r="Q44" t="s">
        <v>36</v>
      </c>
      <c r="S44" t="s">
        <v>45</v>
      </c>
      <c r="T44">
        <v>3</v>
      </c>
      <c r="V44">
        <v>1</v>
      </c>
      <c r="W44" t="s">
        <v>140</v>
      </c>
      <c r="X44" t="s">
        <v>141</v>
      </c>
      <c r="Y44" t="s">
        <v>102</v>
      </c>
      <c r="AA44" t="s">
        <v>63</v>
      </c>
      <c r="AB44">
        <v>2</v>
      </c>
      <c r="AD44">
        <v>1</v>
      </c>
      <c r="AE44" t="s">
        <v>145</v>
      </c>
      <c r="AF44" t="s">
        <v>95</v>
      </c>
      <c r="AG44" t="s">
        <v>147</v>
      </c>
      <c r="AH44" t="s">
        <v>150</v>
      </c>
      <c r="AI44">
        <v>0</v>
      </c>
      <c r="AJ44">
        <v>21</v>
      </c>
    </row>
    <row r="45" spans="1:36" x14ac:dyDescent="0.25">
      <c r="A45" t="s">
        <v>331</v>
      </c>
      <c r="B45">
        <v>43</v>
      </c>
      <c r="C45" t="s">
        <v>53</v>
      </c>
      <c r="D45">
        <v>1</v>
      </c>
      <c r="E45">
        <v>3</v>
      </c>
      <c r="F45">
        <v>1</v>
      </c>
      <c r="G45" t="s">
        <v>112</v>
      </c>
      <c r="K45" t="s">
        <v>33</v>
      </c>
      <c r="L45">
        <v>1</v>
      </c>
      <c r="N45">
        <v>3</v>
      </c>
      <c r="O45" t="s">
        <v>65</v>
      </c>
      <c r="P45" t="s">
        <v>35</v>
      </c>
      <c r="Q45" t="s">
        <v>36</v>
      </c>
      <c r="S45" t="s">
        <v>45</v>
      </c>
      <c r="T45">
        <v>3</v>
      </c>
      <c r="V45">
        <v>1</v>
      </c>
      <c r="W45" t="s">
        <v>86</v>
      </c>
      <c r="X45" t="s">
        <v>92</v>
      </c>
      <c r="AA45" t="s">
        <v>38</v>
      </c>
      <c r="AB45">
        <v>3</v>
      </c>
      <c r="AC45">
        <v>2</v>
      </c>
      <c r="AD45">
        <v>2</v>
      </c>
      <c r="AE45" t="s">
        <v>67</v>
      </c>
      <c r="AI45">
        <v>0</v>
      </c>
      <c r="AJ45">
        <v>17</v>
      </c>
    </row>
    <row r="46" spans="1:36" x14ac:dyDescent="0.25">
      <c r="A46" t="s">
        <v>332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111</v>
      </c>
      <c r="H46" t="s">
        <v>113</v>
      </c>
      <c r="I46" t="s">
        <v>97</v>
      </c>
      <c r="K46" t="s">
        <v>33</v>
      </c>
      <c r="L46">
        <v>3</v>
      </c>
      <c r="N46">
        <v>3</v>
      </c>
      <c r="O46" t="s">
        <v>65</v>
      </c>
      <c r="P46" t="s">
        <v>35</v>
      </c>
      <c r="Q46" t="s">
        <v>36</v>
      </c>
      <c r="R46" t="s">
        <v>133</v>
      </c>
      <c r="S46" t="s">
        <v>63</v>
      </c>
      <c r="T46">
        <v>1</v>
      </c>
      <c r="V46">
        <v>1</v>
      </c>
      <c r="W46" t="s">
        <v>72</v>
      </c>
      <c r="X46" t="s">
        <v>95</v>
      </c>
      <c r="Y46" t="s">
        <v>104</v>
      </c>
      <c r="AA46" t="s">
        <v>38</v>
      </c>
      <c r="AB46">
        <v>2</v>
      </c>
      <c r="AC46">
        <v>3</v>
      </c>
      <c r="AD46">
        <v>3</v>
      </c>
      <c r="AE46" t="s">
        <v>67</v>
      </c>
      <c r="AF46" t="s">
        <v>40</v>
      </c>
      <c r="AG46" t="s">
        <v>153</v>
      </c>
      <c r="AH46" t="s">
        <v>156</v>
      </c>
      <c r="AI46">
        <v>0</v>
      </c>
      <c r="AJ46">
        <v>24</v>
      </c>
    </row>
    <row r="47" spans="1:36" x14ac:dyDescent="0.25">
      <c r="A47" t="s">
        <v>333</v>
      </c>
      <c r="B47">
        <v>45</v>
      </c>
      <c r="C47" t="s">
        <v>53</v>
      </c>
      <c r="D47">
        <v>1</v>
      </c>
      <c r="E47">
        <v>1</v>
      </c>
      <c r="F47">
        <v>3</v>
      </c>
      <c r="G47" t="s">
        <v>112</v>
      </c>
      <c r="H47" t="s">
        <v>113</v>
      </c>
      <c r="I47" t="s">
        <v>105</v>
      </c>
      <c r="J47" t="s">
        <v>116</v>
      </c>
      <c r="K47" t="s">
        <v>43</v>
      </c>
      <c r="L47">
        <v>3</v>
      </c>
      <c r="N47">
        <v>2</v>
      </c>
      <c r="O47" t="s">
        <v>44</v>
      </c>
      <c r="P47" t="s">
        <v>99</v>
      </c>
      <c r="Q47" t="s">
        <v>75</v>
      </c>
      <c r="R47" t="s">
        <v>101</v>
      </c>
      <c r="S47" t="s">
        <v>56</v>
      </c>
      <c r="T47">
        <v>3</v>
      </c>
      <c r="V47">
        <v>2</v>
      </c>
      <c r="W47" t="s">
        <v>120</v>
      </c>
      <c r="X47" t="s">
        <v>121</v>
      </c>
      <c r="Y47" t="s">
        <v>87</v>
      </c>
      <c r="AA47" t="s">
        <v>48</v>
      </c>
      <c r="AB47">
        <v>1</v>
      </c>
      <c r="AD47">
        <v>1</v>
      </c>
      <c r="AE47" t="s">
        <v>126</v>
      </c>
      <c r="AF47" t="s">
        <v>71</v>
      </c>
      <c r="AG47" t="s">
        <v>90</v>
      </c>
      <c r="AI47">
        <v>0</v>
      </c>
      <c r="AJ47">
        <v>22</v>
      </c>
    </row>
    <row r="48" spans="1:36" x14ac:dyDescent="0.25">
      <c r="A48" t="s">
        <v>334</v>
      </c>
      <c r="B48">
        <v>46</v>
      </c>
      <c r="C48" t="s">
        <v>56</v>
      </c>
      <c r="D48">
        <v>2</v>
      </c>
      <c r="F48">
        <v>3</v>
      </c>
      <c r="G48" t="s">
        <v>120</v>
      </c>
      <c r="H48" t="s">
        <v>121</v>
      </c>
      <c r="I48" t="s">
        <v>87</v>
      </c>
      <c r="K48" t="s">
        <v>33</v>
      </c>
      <c r="L48">
        <v>2</v>
      </c>
      <c r="N48">
        <v>2</v>
      </c>
      <c r="O48" t="s">
        <v>65</v>
      </c>
      <c r="P48" t="s">
        <v>130</v>
      </c>
      <c r="Q48" t="s">
        <v>36</v>
      </c>
      <c r="R48" t="s">
        <v>134</v>
      </c>
      <c r="S48" t="s">
        <v>53</v>
      </c>
      <c r="T48">
        <v>1</v>
      </c>
      <c r="U48">
        <v>1</v>
      </c>
      <c r="V48">
        <v>1</v>
      </c>
      <c r="W48" t="s">
        <v>112</v>
      </c>
      <c r="X48" t="s">
        <v>113</v>
      </c>
      <c r="AA48" t="s">
        <v>43</v>
      </c>
      <c r="AB48">
        <v>3</v>
      </c>
      <c r="AD48">
        <v>3</v>
      </c>
      <c r="AE48" t="s">
        <v>44</v>
      </c>
      <c r="AF48" t="s">
        <v>74</v>
      </c>
      <c r="AI48">
        <v>0</v>
      </c>
      <c r="AJ48">
        <v>21</v>
      </c>
    </row>
    <row r="49" spans="1:36" x14ac:dyDescent="0.25">
      <c r="A49" t="s">
        <v>335</v>
      </c>
      <c r="B49">
        <v>47</v>
      </c>
      <c r="C49" t="s">
        <v>56</v>
      </c>
      <c r="D49">
        <v>3</v>
      </c>
      <c r="F49">
        <v>1</v>
      </c>
      <c r="G49" t="s">
        <v>57</v>
      </c>
      <c r="H49" t="s">
        <v>122</v>
      </c>
      <c r="K49" t="s">
        <v>45</v>
      </c>
      <c r="L49">
        <v>3</v>
      </c>
      <c r="N49">
        <v>1</v>
      </c>
      <c r="O49" t="s">
        <v>140</v>
      </c>
      <c r="P49" t="s">
        <v>141</v>
      </c>
      <c r="S49" t="s">
        <v>53</v>
      </c>
      <c r="T49">
        <v>1</v>
      </c>
      <c r="U49">
        <v>2</v>
      </c>
      <c r="V49">
        <v>1</v>
      </c>
      <c r="W49" t="s">
        <v>112</v>
      </c>
      <c r="X49" t="s">
        <v>55</v>
      </c>
      <c r="Y49" t="s">
        <v>97</v>
      </c>
      <c r="AA49" t="s">
        <v>43</v>
      </c>
      <c r="AB49">
        <v>1</v>
      </c>
      <c r="AD49">
        <v>1</v>
      </c>
      <c r="AE49" t="s">
        <v>44</v>
      </c>
      <c r="AI49">
        <v>0</v>
      </c>
      <c r="AJ49">
        <v>13</v>
      </c>
    </row>
    <row r="50" spans="1:36" x14ac:dyDescent="0.25">
      <c r="A50" t="s">
        <v>336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112</v>
      </c>
      <c r="H50" t="s">
        <v>113</v>
      </c>
      <c r="I50" t="s">
        <v>114</v>
      </c>
      <c r="J50" t="s">
        <v>116</v>
      </c>
      <c r="K50" t="s">
        <v>43</v>
      </c>
      <c r="L50">
        <v>3</v>
      </c>
      <c r="N50">
        <v>1</v>
      </c>
      <c r="O50" t="s">
        <v>44</v>
      </c>
      <c r="P50" t="s">
        <v>136</v>
      </c>
      <c r="Q50" t="s">
        <v>75</v>
      </c>
      <c r="S50" t="s">
        <v>56</v>
      </c>
      <c r="T50">
        <v>3</v>
      </c>
      <c r="V50">
        <v>1</v>
      </c>
      <c r="W50" t="s">
        <v>68</v>
      </c>
      <c r="AA50" t="s">
        <v>63</v>
      </c>
      <c r="AB50">
        <v>2</v>
      </c>
      <c r="AD50">
        <v>1</v>
      </c>
      <c r="AE50" t="s">
        <v>72</v>
      </c>
      <c r="AF50" t="s">
        <v>95</v>
      </c>
      <c r="AG50" t="s">
        <v>147</v>
      </c>
      <c r="AI50">
        <v>0</v>
      </c>
      <c r="AJ50">
        <v>16</v>
      </c>
    </row>
    <row r="51" spans="1:36" x14ac:dyDescent="0.25">
      <c r="A51" t="s">
        <v>337</v>
      </c>
      <c r="B51">
        <v>49</v>
      </c>
      <c r="C51" t="s">
        <v>56</v>
      </c>
      <c r="D51">
        <v>3</v>
      </c>
      <c r="F51">
        <v>1</v>
      </c>
      <c r="G51" t="s">
        <v>120</v>
      </c>
      <c r="H51" t="s">
        <v>69</v>
      </c>
      <c r="K51" t="s">
        <v>38</v>
      </c>
      <c r="L51">
        <v>3</v>
      </c>
      <c r="M51">
        <v>1</v>
      </c>
      <c r="N51">
        <v>2</v>
      </c>
      <c r="O51" t="s">
        <v>39</v>
      </c>
      <c r="P51" t="s">
        <v>40</v>
      </c>
      <c r="Q51" t="s">
        <v>41</v>
      </c>
      <c r="R51" t="s">
        <v>42</v>
      </c>
      <c r="S51" t="s">
        <v>53</v>
      </c>
      <c r="T51">
        <v>3</v>
      </c>
      <c r="U51">
        <v>1</v>
      </c>
      <c r="V51">
        <v>1</v>
      </c>
      <c r="W51" t="s">
        <v>112</v>
      </c>
      <c r="X51" t="s">
        <v>83</v>
      </c>
      <c r="Y51" t="s">
        <v>105</v>
      </c>
      <c r="Z51" t="s">
        <v>115</v>
      </c>
      <c r="AA51" t="s">
        <v>43</v>
      </c>
      <c r="AB51">
        <v>2</v>
      </c>
      <c r="AD51">
        <v>1</v>
      </c>
      <c r="AE51" t="s">
        <v>44</v>
      </c>
      <c r="AI51">
        <v>0</v>
      </c>
      <c r="AJ51">
        <v>20</v>
      </c>
    </row>
    <row r="52" spans="1:36" x14ac:dyDescent="0.25">
      <c r="A52" t="s">
        <v>338</v>
      </c>
      <c r="B52">
        <v>50</v>
      </c>
      <c r="C52" t="s">
        <v>48</v>
      </c>
      <c r="D52">
        <v>2</v>
      </c>
      <c r="F52">
        <v>2</v>
      </c>
      <c r="G52" t="s">
        <v>89</v>
      </c>
      <c r="H52" t="s">
        <v>84</v>
      </c>
      <c r="I52" t="s">
        <v>90</v>
      </c>
      <c r="J52" t="s">
        <v>128</v>
      </c>
      <c r="K52" t="s">
        <v>33</v>
      </c>
      <c r="L52">
        <v>3</v>
      </c>
      <c r="N52">
        <v>2</v>
      </c>
      <c r="O52" t="s">
        <v>65</v>
      </c>
      <c r="P52" t="s">
        <v>66</v>
      </c>
      <c r="Q52" t="s">
        <v>131</v>
      </c>
      <c r="S52" t="s">
        <v>53</v>
      </c>
      <c r="T52">
        <v>1</v>
      </c>
      <c r="U52">
        <v>1</v>
      </c>
      <c r="V52">
        <v>3</v>
      </c>
      <c r="W52" t="s">
        <v>112</v>
      </c>
      <c r="X52" t="s">
        <v>113</v>
      </c>
      <c r="AA52" t="s">
        <v>43</v>
      </c>
      <c r="AB52">
        <v>3</v>
      </c>
      <c r="AD52">
        <v>1</v>
      </c>
      <c r="AE52" t="s">
        <v>44</v>
      </c>
      <c r="AF52" t="s">
        <v>136</v>
      </c>
      <c r="AG52" t="s">
        <v>137</v>
      </c>
      <c r="AH52" t="s">
        <v>138</v>
      </c>
      <c r="AI52">
        <v>0</v>
      </c>
      <c r="AJ52">
        <v>23</v>
      </c>
    </row>
    <row r="53" spans="1:36" x14ac:dyDescent="0.25">
      <c r="A53" t="s">
        <v>339</v>
      </c>
      <c r="B53">
        <v>51</v>
      </c>
      <c r="C53" t="s">
        <v>53</v>
      </c>
      <c r="D53">
        <v>1</v>
      </c>
      <c r="E53">
        <v>1</v>
      </c>
      <c r="F53">
        <v>3</v>
      </c>
      <c r="G53" t="s">
        <v>112</v>
      </c>
      <c r="H53" t="s">
        <v>55</v>
      </c>
      <c r="K53" t="s">
        <v>43</v>
      </c>
      <c r="L53">
        <v>3</v>
      </c>
      <c r="N53">
        <v>1</v>
      </c>
      <c r="O53" t="s">
        <v>44</v>
      </c>
      <c r="P53" t="s">
        <v>136</v>
      </c>
      <c r="Q53" t="s">
        <v>137</v>
      </c>
      <c r="S53" t="s">
        <v>48</v>
      </c>
      <c r="T53">
        <v>2</v>
      </c>
      <c r="V53">
        <v>1</v>
      </c>
      <c r="W53" t="s">
        <v>49</v>
      </c>
      <c r="AA53" t="s">
        <v>45</v>
      </c>
      <c r="AB53">
        <v>3</v>
      </c>
      <c r="AD53">
        <v>1</v>
      </c>
      <c r="AE53" t="s">
        <v>140</v>
      </c>
      <c r="AF53" t="s">
        <v>141</v>
      </c>
      <c r="AG53" t="s">
        <v>102</v>
      </c>
      <c r="AI53">
        <v>0</v>
      </c>
      <c r="AJ53">
        <v>16</v>
      </c>
    </row>
    <row r="54" spans="1:36" x14ac:dyDescent="0.25">
      <c r="A54" s="36" t="s">
        <v>340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111</v>
      </c>
      <c r="H54" t="s">
        <v>113</v>
      </c>
      <c r="K54" t="s">
        <v>43</v>
      </c>
      <c r="L54">
        <v>2</v>
      </c>
      <c r="N54">
        <v>1</v>
      </c>
      <c r="O54" t="s">
        <v>44</v>
      </c>
      <c r="P54" t="s">
        <v>99</v>
      </c>
      <c r="Q54" t="s">
        <v>75</v>
      </c>
      <c r="S54" t="s">
        <v>48</v>
      </c>
      <c r="T54">
        <v>1</v>
      </c>
      <c r="V54">
        <v>1</v>
      </c>
      <c r="W54" t="s">
        <v>89</v>
      </c>
      <c r="X54" t="s">
        <v>84</v>
      </c>
      <c r="AA54" t="s">
        <v>63</v>
      </c>
      <c r="AB54">
        <v>1</v>
      </c>
      <c r="AD54">
        <v>1</v>
      </c>
      <c r="AE54" t="s">
        <v>72</v>
      </c>
      <c r="AF54" t="s">
        <v>95</v>
      </c>
      <c r="AG54" t="s">
        <v>147</v>
      </c>
      <c r="AI54">
        <v>0</v>
      </c>
      <c r="AJ54">
        <v>12</v>
      </c>
    </row>
    <row r="55" spans="1:36" x14ac:dyDescent="0.25">
      <c r="A55" t="s">
        <v>341</v>
      </c>
      <c r="B55">
        <v>53</v>
      </c>
      <c r="C55" t="s">
        <v>53</v>
      </c>
      <c r="D55">
        <v>1</v>
      </c>
      <c r="E55">
        <v>1</v>
      </c>
      <c r="F55">
        <v>2</v>
      </c>
      <c r="G55" t="s">
        <v>112</v>
      </c>
      <c r="H55" t="s">
        <v>113</v>
      </c>
      <c r="I55" t="s">
        <v>114</v>
      </c>
      <c r="J55" t="s">
        <v>116</v>
      </c>
      <c r="K55" t="s">
        <v>43</v>
      </c>
      <c r="L55">
        <v>3</v>
      </c>
      <c r="N55">
        <v>1</v>
      </c>
      <c r="O55" t="s">
        <v>44</v>
      </c>
      <c r="P55" t="s">
        <v>99</v>
      </c>
      <c r="Q55" t="s">
        <v>75</v>
      </c>
      <c r="S55" t="s">
        <v>48</v>
      </c>
      <c r="T55">
        <v>1</v>
      </c>
      <c r="V55">
        <v>1</v>
      </c>
      <c r="W55" t="s">
        <v>126</v>
      </c>
      <c r="X55" t="s">
        <v>71</v>
      </c>
      <c r="AA55" t="s">
        <v>38</v>
      </c>
      <c r="AB55">
        <v>3</v>
      </c>
      <c r="AC55">
        <v>1</v>
      </c>
      <c r="AD55">
        <v>1</v>
      </c>
      <c r="AE55" t="s">
        <v>152</v>
      </c>
      <c r="AF55" t="s">
        <v>40</v>
      </c>
      <c r="AG55" t="s">
        <v>41</v>
      </c>
      <c r="AI55">
        <v>0</v>
      </c>
      <c r="AJ55">
        <v>17</v>
      </c>
    </row>
    <row r="56" spans="1:36" x14ac:dyDescent="0.25">
      <c r="A56" t="s">
        <v>342</v>
      </c>
      <c r="B56">
        <v>54</v>
      </c>
      <c r="C56" t="s">
        <v>33</v>
      </c>
      <c r="D56">
        <v>2</v>
      </c>
      <c r="F56">
        <v>2</v>
      </c>
      <c r="G56" t="s">
        <v>65</v>
      </c>
      <c r="H56" t="s">
        <v>130</v>
      </c>
      <c r="I56" t="s">
        <v>36</v>
      </c>
      <c r="J56" t="s">
        <v>134</v>
      </c>
      <c r="K56" t="s">
        <v>45</v>
      </c>
      <c r="L56">
        <v>3</v>
      </c>
      <c r="N56">
        <v>2</v>
      </c>
      <c r="O56" t="s">
        <v>140</v>
      </c>
      <c r="S56" t="s">
        <v>53</v>
      </c>
      <c r="T56">
        <v>1</v>
      </c>
      <c r="U56">
        <v>2</v>
      </c>
      <c r="V56">
        <v>1</v>
      </c>
      <c r="W56" t="s">
        <v>112</v>
      </c>
      <c r="X56" t="s">
        <v>113</v>
      </c>
      <c r="AA56" t="s">
        <v>43</v>
      </c>
      <c r="AB56">
        <v>3</v>
      </c>
      <c r="AD56">
        <v>1</v>
      </c>
      <c r="AE56" t="s">
        <v>44</v>
      </c>
      <c r="AF56" t="s">
        <v>136</v>
      </c>
      <c r="AG56" t="s">
        <v>137</v>
      </c>
      <c r="AH56" t="s">
        <v>101</v>
      </c>
      <c r="AI56">
        <v>0</v>
      </c>
      <c r="AJ56">
        <v>21</v>
      </c>
    </row>
    <row r="57" spans="1:36" x14ac:dyDescent="0.25">
      <c r="A57" t="s">
        <v>343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112</v>
      </c>
      <c r="H57" t="s">
        <v>113</v>
      </c>
      <c r="I57" t="s">
        <v>114</v>
      </c>
      <c r="J57" t="s">
        <v>116</v>
      </c>
      <c r="K57" t="s">
        <v>43</v>
      </c>
      <c r="L57">
        <v>3</v>
      </c>
      <c r="N57">
        <v>2</v>
      </c>
      <c r="O57" t="s">
        <v>44</v>
      </c>
      <c r="P57" t="s">
        <v>99</v>
      </c>
      <c r="S57" t="s">
        <v>33</v>
      </c>
      <c r="T57">
        <v>3</v>
      </c>
      <c r="V57">
        <v>2</v>
      </c>
      <c r="W57" t="s">
        <v>65</v>
      </c>
      <c r="X57" t="s">
        <v>130</v>
      </c>
      <c r="AA57" t="s">
        <v>63</v>
      </c>
      <c r="AB57">
        <v>1</v>
      </c>
      <c r="AD57">
        <v>1</v>
      </c>
      <c r="AE57" t="s">
        <v>145</v>
      </c>
      <c r="AF57" t="s">
        <v>146</v>
      </c>
      <c r="AG57" t="s">
        <v>104</v>
      </c>
      <c r="AI57">
        <v>0</v>
      </c>
      <c r="AJ57">
        <v>18</v>
      </c>
    </row>
    <row r="58" spans="1:36" x14ac:dyDescent="0.25">
      <c r="A58" s="36" t="s">
        <v>344</v>
      </c>
      <c r="B58">
        <v>56</v>
      </c>
      <c r="C58" t="s">
        <v>53</v>
      </c>
      <c r="D58">
        <v>2</v>
      </c>
      <c r="E58">
        <v>1</v>
      </c>
      <c r="F58">
        <v>1</v>
      </c>
      <c r="G58" t="s">
        <v>112</v>
      </c>
      <c r="H58" t="s">
        <v>113</v>
      </c>
      <c r="K58" t="s">
        <v>43</v>
      </c>
      <c r="L58">
        <v>3</v>
      </c>
      <c r="N58">
        <v>2</v>
      </c>
      <c r="O58" t="s">
        <v>44</v>
      </c>
      <c r="P58" t="s">
        <v>136</v>
      </c>
      <c r="S58" t="s">
        <v>33</v>
      </c>
      <c r="T58">
        <v>3</v>
      </c>
      <c r="V58">
        <v>3</v>
      </c>
      <c r="W58" t="s">
        <v>65</v>
      </c>
      <c r="AA58" t="s">
        <v>38</v>
      </c>
      <c r="AB58">
        <v>3</v>
      </c>
      <c r="AC58">
        <v>1</v>
      </c>
      <c r="AD58">
        <v>2</v>
      </c>
      <c r="AE58" t="s">
        <v>67</v>
      </c>
      <c r="AI58">
        <v>0</v>
      </c>
      <c r="AJ58">
        <v>17</v>
      </c>
    </row>
    <row r="59" spans="1:36" x14ac:dyDescent="0.25">
      <c r="A59" t="s">
        <v>345</v>
      </c>
      <c r="B59">
        <v>57</v>
      </c>
      <c r="C59" t="s">
        <v>45</v>
      </c>
      <c r="D59">
        <v>3</v>
      </c>
      <c r="F59">
        <v>2</v>
      </c>
      <c r="G59" t="s">
        <v>140</v>
      </c>
      <c r="H59" t="s">
        <v>76</v>
      </c>
      <c r="K59" t="s">
        <v>63</v>
      </c>
      <c r="L59">
        <v>1</v>
      </c>
      <c r="N59">
        <v>1</v>
      </c>
      <c r="O59" t="s">
        <v>72</v>
      </c>
      <c r="P59" t="s">
        <v>95</v>
      </c>
      <c r="Q59" t="s">
        <v>148</v>
      </c>
      <c r="R59" t="s">
        <v>150</v>
      </c>
      <c r="S59" t="s">
        <v>53</v>
      </c>
      <c r="T59">
        <v>1</v>
      </c>
      <c r="U59">
        <v>1</v>
      </c>
      <c r="V59">
        <v>1</v>
      </c>
      <c r="W59" t="s">
        <v>112</v>
      </c>
      <c r="X59" t="s">
        <v>113</v>
      </c>
      <c r="Y59" t="s">
        <v>114</v>
      </c>
      <c r="Z59" t="s">
        <v>115</v>
      </c>
      <c r="AA59" t="s">
        <v>43</v>
      </c>
      <c r="AB59">
        <v>2</v>
      </c>
      <c r="AD59">
        <v>1</v>
      </c>
      <c r="AE59" t="s">
        <v>44</v>
      </c>
      <c r="AI59">
        <v>0</v>
      </c>
      <c r="AJ59">
        <v>15</v>
      </c>
    </row>
    <row r="60" spans="1:36" x14ac:dyDescent="0.25">
      <c r="A60" t="s">
        <v>346</v>
      </c>
      <c r="B60">
        <v>58</v>
      </c>
      <c r="C60" t="s">
        <v>45</v>
      </c>
      <c r="D60">
        <v>3</v>
      </c>
      <c r="F60">
        <v>2</v>
      </c>
      <c r="G60" t="s">
        <v>86</v>
      </c>
      <c r="K60" t="s">
        <v>38</v>
      </c>
      <c r="L60">
        <v>1</v>
      </c>
      <c r="M60">
        <v>1</v>
      </c>
      <c r="N60">
        <v>2</v>
      </c>
      <c r="O60" t="s">
        <v>39</v>
      </c>
      <c r="P60" t="s">
        <v>40</v>
      </c>
      <c r="Q60" t="s">
        <v>154</v>
      </c>
      <c r="R60" t="s">
        <v>155</v>
      </c>
      <c r="S60" t="s">
        <v>53</v>
      </c>
      <c r="T60">
        <v>2</v>
      </c>
      <c r="U60">
        <v>2</v>
      </c>
      <c r="V60">
        <v>1</v>
      </c>
      <c r="W60" t="s">
        <v>112</v>
      </c>
      <c r="X60" t="s">
        <v>83</v>
      </c>
      <c r="AA60" t="s">
        <v>43</v>
      </c>
      <c r="AB60">
        <v>2</v>
      </c>
      <c r="AD60">
        <v>1</v>
      </c>
      <c r="AE60" t="s">
        <v>44</v>
      </c>
      <c r="AI60">
        <v>0</v>
      </c>
      <c r="AJ60">
        <v>15</v>
      </c>
    </row>
    <row r="61" spans="1:36" x14ac:dyDescent="0.25">
      <c r="A61" t="s">
        <v>347</v>
      </c>
      <c r="B61">
        <v>59</v>
      </c>
      <c r="C61" t="s">
        <v>53</v>
      </c>
      <c r="D61">
        <v>3</v>
      </c>
      <c r="E61">
        <v>2</v>
      </c>
      <c r="F61">
        <v>3</v>
      </c>
      <c r="G61" t="s">
        <v>111</v>
      </c>
      <c r="H61" t="s">
        <v>113</v>
      </c>
      <c r="I61" t="s">
        <v>114</v>
      </c>
      <c r="J61" t="s">
        <v>116</v>
      </c>
      <c r="K61" t="s">
        <v>43</v>
      </c>
      <c r="L61">
        <v>3</v>
      </c>
      <c r="N61">
        <v>3</v>
      </c>
      <c r="O61" t="s">
        <v>44</v>
      </c>
      <c r="P61" t="s">
        <v>99</v>
      </c>
      <c r="Q61" t="s">
        <v>75</v>
      </c>
      <c r="R61" t="s">
        <v>101</v>
      </c>
      <c r="S61" t="s">
        <v>63</v>
      </c>
      <c r="T61">
        <v>3</v>
      </c>
      <c r="V61">
        <v>3</v>
      </c>
      <c r="W61" t="s">
        <v>103</v>
      </c>
      <c r="X61" t="s">
        <v>95</v>
      </c>
      <c r="Y61" t="s">
        <v>147</v>
      </c>
      <c r="Z61" t="s">
        <v>151</v>
      </c>
      <c r="AA61" t="s">
        <v>38</v>
      </c>
      <c r="AB61">
        <v>1</v>
      </c>
      <c r="AC61">
        <v>1</v>
      </c>
      <c r="AD61">
        <v>2</v>
      </c>
      <c r="AE61" t="s">
        <v>67</v>
      </c>
      <c r="AI61">
        <v>0</v>
      </c>
      <c r="AJ61">
        <v>30</v>
      </c>
    </row>
    <row r="62" spans="1:36" x14ac:dyDescent="0.25">
      <c r="A62" t="s">
        <v>348</v>
      </c>
      <c r="B62">
        <v>60</v>
      </c>
      <c r="C62" t="s">
        <v>53</v>
      </c>
      <c r="D62">
        <v>2</v>
      </c>
      <c r="E62">
        <v>1</v>
      </c>
      <c r="F62">
        <v>3</v>
      </c>
      <c r="G62" t="s">
        <v>112</v>
      </c>
      <c r="K62" t="s">
        <v>45</v>
      </c>
      <c r="L62">
        <v>3</v>
      </c>
      <c r="N62">
        <v>1</v>
      </c>
      <c r="O62" t="s">
        <v>86</v>
      </c>
      <c r="P62" t="s">
        <v>92</v>
      </c>
      <c r="Q62" t="s">
        <v>93</v>
      </c>
      <c r="S62" t="s">
        <v>56</v>
      </c>
      <c r="T62">
        <v>3</v>
      </c>
      <c r="V62">
        <v>1</v>
      </c>
      <c r="W62" t="s">
        <v>57</v>
      </c>
      <c r="X62" t="s">
        <v>122</v>
      </c>
      <c r="Y62" t="s">
        <v>87</v>
      </c>
      <c r="AA62" t="s">
        <v>48</v>
      </c>
      <c r="AB62">
        <v>1</v>
      </c>
      <c r="AD62">
        <v>1</v>
      </c>
      <c r="AE62" t="s">
        <v>49</v>
      </c>
      <c r="AF62" t="s">
        <v>84</v>
      </c>
      <c r="AG62" t="s">
        <v>90</v>
      </c>
      <c r="AI62">
        <v>0</v>
      </c>
      <c r="AJ62">
        <v>18</v>
      </c>
    </row>
    <row r="63" spans="1:36" x14ac:dyDescent="0.25">
      <c r="A63" t="s">
        <v>349</v>
      </c>
      <c r="B63">
        <v>61</v>
      </c>
      <c r="C63" t="s">
        <v>56</v>
      </c>
      <c r="D63">
        <v>2</v>
      </c>
      <c r="F63">
        <v>1</v>
      </c>
      <c r="G63" t="s">
        <v>57</v>
      </c>
      <c r="H63" t="s">
        <v>69</v>
      </c>
      <c r="I63" t="s">
        <v>85</v>
      </c>
      <c r="K63" t="s">
        <v>33</v>
      </c>
      <c r="L63">
        <v>1</v>
      </c>
      <c r="N63">
        <v>1</v>
      </c>
      <c r="O63" t="s">
        <v>65</v>
      </c>
      <c r="P63" t="s">
        <v>130</v>
      </c>
      <c r="Q63" t="s">
        <v>36</v>
      </c>
      <c r="R63" t="s">
        <v>134</v>
      </c>
      <c r="S63" t="s">
        <v>53</v>
      </c>
      <c r="T63">
        <v>2</v>
      </c>
      <c r="U63">
        <v>2</v>
      </c>
      <c r="V63">
        <v>1</v>
      </c>
      <c r="W63" t="s">
        <v>112</v>
      </c>
      <c r="X63" t="s">
        <v>113</v>
      </c>
      <c r="AA63" t="s">
        <v>45</v>
      </c>
      <c r="AB63">
        <v>2</v>
      </c>
      <c r="AD63">
        <v>1</v>
      </c>
      <c r="AE63" t="s">
        <v>140</v>
      </c>
      <c r="AI63">
        <v>0</v>
      </c>
      <c r="AJ63">
        <v>14</v>
      </c>
    </row>
    <row r="64" spans="1:36" x14ac:dyDescent="0.25">
      <c r="A64" t="s">
        <v>350</v>
      </c>
      <c r="B64">
        <v>62</v>
      </c>
      <c r="C64" t="s">
        <v>53</v>
      </c>
      <c r="D64">
        <v>2</v>
      </c>
      <c r="E64">
        <v>2</v>
      </c>
      <c r="F64">
        <v>1</v>
      </c>
      <c r="G64" t="s">
        <v>112</v>
      </c>
      <c r="H64" t="s">
        <v>55</v>
      </c>
      <c r="I64" t="s">
        <v>114</v>
      </c>
      <c r="K64" t="s">
        <v>45</v>
      </c>
      <c r="L64">
        <v>3</v>
      </c>
      <c r="N64">
        <v>2</v>
      </c>
      <c r="O64" t="s">
        <v>140</v>
      </c>
      <c r="P64" t="s">
        <v>92</v>
      </c>
      <c r="S64" t="s">
        <v>56</v>
      </c>
      <c r="T64">
        <v>2</v>
      </c>
      <c r="V64">
        <v>1</v>
      </c>
      <c r="W64" t="s">
        <v>120</v>
      </c>
      <c r="X64" t="s">
        <v>121</v>
      </c>
      <c r="Y64" t="s">
        <v>123</v>
      </c>
      <c r="AA64" t="s">
        <v>43</v>
      </c>
      <c r="AB64">
        <v>1</v>
      </c>
      <c r="AD64">
        <v>1</v>
      </c>
      <c r="AE64" t="s">
        <v>44</v>
      </c>
      <c r="AF64" t="s">
        <v>136</v>
      </c>
      <c r="AI64">
        <v>0</v>
      </c>
      <c r="AJ64">
        <v>16</v>
      </c>
    </row>
    <row r="65" spans="1:36" x14ac:dyDescent="0.25">
      <c r="A65" t="s">
        <v>351</v>
      </c>
      <c r="B65">
        <v>63</v>
      </c>
      <c r="C65" t="s">
        <v>56</v>
      </c>
      <c r="D65">
        <v>2</v>
      </c>
      <c r="F65">
        <v>1</v>
      </c>
      <c r="G65" t="s">
        <v>57</v>
      </c>
      <c r="H65" t="s">
        <v>122</v>
      </c>
      <c r="I65" t="s">
        <v>85</v>
      </c>
      <c r="K65" t="s">
        <v>63</v>
      </c>
      <c r="L65">
        <v>1</v>
      </c>
      <c r="N65">
        <v>1</v>
      </c>
      <c r="O65" t="s">
        <v>103</v>
      </c>
      <c r="P65" t="s">
        <v>95</v>
      </c>
      <c r="Q65" t="s">
        <v>147</v>
      </c>
      <c r="S65" t="s">
        <v>53</v>
      </c>
      <c r="T65">
        <v>3</v>
      </c>
      <c r="U65">
        <v>1</v>
      </c>
      <c r="V65">
        <v>1</v>
      </c>
      <c r="W65" t="s">
        <v>112</v>
      </c>
      <c r="X65" t="s">
        <v>113</v>
      </c>
      <c r="AA65" t="s">
        <v>45</v>
      </c>
      <c r="AB65">
        <v>2</v>
      </c>
      <c r="AD65">
        <v>1</v>
      </c>
      <c r="AE65" t="s">
        <v>86</v>
      </c>
      <c r="AI65">
        <v>0</v>
      </c>
      <c r="AJ65">
        <v>14</v>
      </c>
    </row>
    <row r="66" spans="1:36" x14ac:dyDescent="0.25">
      <c r="A66" t="s">
        <v>352</v>
      </c>
      <c r="B66">
        <v>64</v>
      </c>
      <c r="C66" t="s">
        <v>56</v>
      </c>
      <c r="D66">
        <v>3</v>
      </c>
      <c r="F66">
        <v>3</v>
      </c>
      <c r="G66" t="s">
        <v>120</v>
      </c>
      <c r="H66" t="s">
        <v>69</v>
      </c>
      <c r="I66" t="s">
        <v>87</v>
      </c>
      <c r="K66" t="s">
        <v>38</v>
      </c>
      <c r="L66">
        <v>3</v>
      </c>
      <c r="M66">
        <v>2</v>
      </c>
      <c r="N66">
        <v>2</v>
      </c>
      <c r="O66" t="s">
        <v>39</v>
      </c>
      <c r="P66" t="s">
        <v>40</v>
      </c>
      <c r="Q66" t="s">
        <v>153</v>
      </c>
      <c r="R66" t="s">
        <v>156</v>
      </c>
      <c r="S66" t="s">
        <v>53</v>
      </c>
      <c r="T66">
        <v>2</v>
      </c>
      <c r="U66">
        <v>2</v>
      </c>
      <c r="V66">
        <v>1</v>
      </c>
      <c r="W66" t="s">
        <v>112</v>
      </c>
      <c r="X66" t="s">
        <v>113</v>
      </c>
      <c r="Y66" t="s">
        <v>114</v>
      </c>
      <c r="Z66" t="s">
        <v>115</v>
      </c>
      <c r="AA66" t="s">
        <v>45</v>
      </c>
      <c r="AB66">
        <v>3</v>
      </c>
      <c r="AD66">
        <v>3</v>
      </c>
      <c r="AE66" t="s">
        <v>140</v>
      </c>
      <c r="AF66" t="s">
        <v>141</v>
      </c>
      <c r="AG66" t="s">
        <v>102</v>
      </c>
      <c r="AH66" t="s">
        <v>144</v>
      </c>
      <c r="AI66">
        <v>0</v>
      </c>
      <c r="AJ66">
        <v>30</v>
      </c>
    </row>
    <row r="67" spans="1:36" x14ac:dyDescent="0.25">
      <c r="A67" t="s">
        <v>353</v>
      </c>
      <c r="B67">
        <v>65</v>
      </c>
      <c r="C67" t="s">
        <v>53</v>
      </c>
      <c r="D67">
        <v>3</v>
      </c>
      <c r="E67">
        <v>1</v>
      </c>
      <c r="F67">
        <v>2</v>
      </c>
      <c r="G67" t="s">
        <v>112</v>
      </c>
      <c r="K67" t="s">
        <v>45</v>
      </c>
      <c r="L67">
        <v>3</v>
      </c>
      <c r="N67">
        <v>1</v>
      </c>
      <c r="O67" t="s">
        <v>86</v>
      </c>
      <c r="P67" t="s">
        <v>76</v>
      </c>
      <c r="S67" t="s">
        <v>48</v>
      </c>
      <c r="T67">
        <v>1</v>
      </c>
      <c r="V67">
        <v>1</v>
      </c>
      <c r="W67" t="s">
        <v>49</v>
      </c>
      <c r="X67" t="s">
        <v>84</v>
      </c>
      <c r="AA67" t="s">
        <v>33</v>
      </c>
      <c r="AB67">
        <v>1</v>
      </c>
      <c r="AD67">
        <v>3</v>
      </c>
      <c r="AE67" t="s">
        <v>65</v>
      </c>
      <c r="AF67" t="s">
        <v>130</v>
      </c>
      <c r="AG67" t="s">
        <v>131</v>
      </c>
      <c r="AI67">
        <v>0</v>
      </c>
      <c r="AJ67">
        <v>16</v>
      </c>
    </row>
    <row r="68" spans="1:36" x14ac:dyDescent="0.25">
      <c r="A68" t="s">
        <v>354</v>
      </c>
      <c r="B68">
        <v>66</v>
      </c>
      <c r="C68" t="s">
        <v>53</v>
      </c>
      <c r="D68">
        <v>2</v>
      </c>
      <c r="E68">
        <v>1</v>
      </c>
      <c r="F68">
        <v>1</v>
      </c>
      <c r="G68" t="s">
        <v>112</v>
      </c>
      <c r="H68" t="s">
        <v>113</v>
      </c>
      <c r="I68" t="s">
        <v>114</v>
      </c>
      <c r="J68" t="s">
        <v>116</v>
      </c>
      <c r="K68" t="s">
        <v>45</v>
      </c>
      <c r="L68">
        <v>3</v>
      </c>
      <c r="N68">
        <v>2</v>
      </c>
      <c r="O68" t="s">
        <v>47</v>
      </c>
      <c r="P68" t="s">
        <v>141</v>
      </c>
      <c r="S68" t="s">
        <v>48</v>
      </c>
      <c r="T68">
        <v>1</v>
      </c>
      <c r="V68">
        <v>1</v>
      </c>
      <c r="W68" t="s">
        <v>49</v>
      </c>
      <c r="X68" t="s">
        <v>84</v>
      </c>
      <c r="Y68" t="s">
        <v>90</v>
      </c>
      <c r="Z68" t="s">
        <v>52</v>
      </c>
      <c r="AA68" t="s">
        <v>43</v>
      </c>
      <c r="AB68">
        <v>1</v>
      </c>
      <c r="AD68">
        <v>1</v>
      </c>
      <c r="AE68" t="s">
        <v>73</v>
      </c>
      <c r="AF68" t="s">
        <v>99</v>
      </c>
      <c r="AG68" t="s">
        <v>100</v>
      </c>
      <c r="AH68" t="s">
        <v>101</v>
      </c>
      <c r="AI68">
        <v>0</v>
      </c>
      <c r="AJ68">
        <v>18</v>
      </c>
    </row>
    <row r="69" spans="1:36" x14ac:dyDescent="0.25">
      <c r="A69" t="s">
        <v>355</v>
      </c>
      <c r="B69">
        <v>67</v>
      </c>
      <c r="C69" t="s">
        <v>53</v>
      </c>
      <c r="D69">
        <v>3</v>
      </c>
      <c r="E69">
        <v>3</v>
      </c>
      <c r="F69">
        <v>3</v>
      </c>
      <c r="G69" t="s">
        <v>111</v>
      </c>
      <c r="H69" t="s">
        <v>113</v>
      </c>
      <c r="I69" t="s">
        <v>105</v>
      </c>
      <c r="J69" t="s">
        <v>116</v>
      </c>
      <c r="K69" t="s">
        <v>45</v>
      </c>
      <c r="L69">
        <v>3</v>
      </c>
      <c r="N69">
        <v>3</v>
      </c>
      <c r="O69" t="s">
        <v>86</v>
      </c>
      <c r="P69" t="s">
        <v>92</v>
      </c>
      <c r="Q69" t="s">
        <v>93</v>
      </c>
      <c r="R69" t="s">
        <v>143</v>
      </c>
      <c r="S69" t="s">
        <v>48</v>
      </c>
      <c r="T69">
        <v>1</v>
      </c>
      <c r="V69">
        <v>2</v>
      </c>
      <c r="W69" t="s">
        <v>89</v>
      </c>
      <c r="AA69" t="s">
        <v>63</v>
      </c>
      <c r="AB69">
        <v>3</v>
      </c>
      <c r="AD69">
        <v>3</v>
      </c>
      <c r="AE69" t="s">
        <v>72</v>
      </c>
      <c r="AF69" t="s">
        <v>146</v>
      </c>
      <c r="AG69" t="s">
        <v>147</v>
      </c>
      <c r="AH69" t="s">
        <v>150</v>
      </c>
      <c r="AI69">
        <v>0</v>
      </c>
      <c r="AJ69">
        <v>36</v>
      </c>
    </row>
    <row r="70" spans="1:36" x14ac:dyDescent="0.25">
      <c r="A70" t="s">
        <v>356</v>
      </c>
      <c r="B70">
        <v>68</v>
      </c>
      <c r="C70" t="s">
        <v>48</v>
      </c>
      <c r="D70">
        <v>3</v>
      </c>
      <c r="F70">
        <v>3</v>
      </c>
      <c r="G70" t="s">
        <v>49</v>
      </c>
      <c r="H70" t="s">
        <v>71</v>
      </c>
      <c r="I70" t="s">
        <v>127</v>
      </c>
      <c r="J70" t="s">
        <v>129</v>
      </c>
      <c r="K70" t="s">
        <v>38</v>
      </c>
      <c r="L70">
        <v>3</v>
      </c>
      <c r="M70">
        <v>3</v>
      </c>
      <c r="N70">
        <v>2</v>
      </c>
      <c r="O70" t="s">
        <v>152</v>
      </c>
      <c r="P70" t="s">
        <v>40</v>
      </c>
      <c r="Q70" t="s">
        <v>154</v>
      </c>
      <c r="R70" t="s">
        <v>155</v>
      </c>
      <c r="S70" t="s">
        <v>53</v>
      </c>
      <c r="T70">
        <v>3</v>
      </c>
      <c r="U70">
        <v>2</v>
      </c>
      <c r="V70">
        <v>3</v>
      </c>
      <c r="W70" t="s">
        <v>112</v>
      </c>
      <c r="X70" t="s">
        <v>55</v>
      </c>
      <c r="Y70" t="s">
        <v>114</v>
      </c>
      <c r="Z70" t="s">
        <v>115</v>
      </c>
      <c r="AA70" t="s">
        <v>45</v>
      </c>
      <c r="AB70">
        <v>2</v>
      </c>
      <c r="AD70">
        <v>1</v>
      </c>
      <c r="AE70" t="s">
        <v>86</v>
      </c>
      <c r="AI70">
        <v>0</v>
      </c>
      <c r="AJ70">
        <v>30</v>
      </c>
    </row>
    <row r="71" spans="1:36" x14ac:dyDescent="0.25">
      <c r="A71" t="s">
        <v>357</v>
      </c>
      <c r="B71">
        <v>69</v>
      </c>
      <c r="C71" t="s">
        <v>33</v>
      </c>
      <c r="D71">
        <v>3</v>
      </c>
      <c r="F71">
        <v>1</v>
      </c>
      <c r="G71" t="s">
        <v>65</v>
      </c>
      <c r="H71" t="s">
        <v>130</v>
      </c>
      <c r="I71" t="s">
        <v>36</v>
      </c>
      <c r="J71" t="s">
        <v>134</v>
      </c>
      <c r="K71" t="s">
        <v>43</v>
      </c>
      <c r="L71">
        <v>2</v>
      </c>
      <c r="N71">
        <v>1</v>
      </c>
      <c r="O71" t="s">
        <v>135</v>
      </c>
      <c r="P71" t="s">
        <v>136</v>
      </c>
      <c r="S71" t="s">
        <v>53</v>
      </c>
      <c r="T71">
        <v>1</v>
      </c>
      <c r="U71">
        <v>3</v>
      </c>
      <c r="V71">
        <v>2</v>
      </c>
      <c r="W71" t="s">
        <v>112</v>
      </c>
      <c r="X71" t="s">
        <v>55</v>
      </c>
      <c r="Y71" t="s">
        <v>105</v>
      </c>
      <c r="AA71" t="s">
        <v>45</v>
      </c>
      <c r="AB71">
        <v>3</v>
      </c>
      <c r="AD71">
        <v>1</v>
      </c>
      <c r="AE71" t="s">
        <v>140</v>
      </c>
      <c r="AI71">
        <v>0</v>
      </c>
      <c r="AJ71">
        <v>18</v>
      </c>
    </row>
    <row r="72" spans="1:36" x14ac:dyDescent="0.25">
      <c r="A72" t="s">
        <v>358</v>
      </c>
      <c r="B72">
        <v>70</v>
      </c>
      <c r="C72" t="s">
        <v>53</v>
      </c>
      <c r="D72">
        <v>2</v>
      </c>
      <c r="E72">
        <v>1</v>
      </c>
      <c r="F72">
        <v>2</v>
      </c>
      <c r="G72" t="s">
        <v>112</v>
      </c>
      <c r="H72" t="s">
        <v>113</v>
      </c>
      <c r="I72" t="s">
        <v>114</v>
      </c>
      <c r="J72" t="s">
        <v>116</v>
      </c>
      <c r="K72" t="s">
        <v>45</v>
      </c>
      <c r="L72">
        <v>3</v>
      </c>
      <c r="N72">
        <v>1</v>
      </c>
      <c r="O72" t="s">
        <v>86</v>
      </c>
      <c r="P72" t="s">
        <v>141</v>
      </c>
      <c r="Q72" t="s">
        <v>102</v>
      </c>
      <c r="R72" t="s">
        <v>143</v>
      </c>
      <c r="S72" t="s">
        <v>33</v>
      </c>
      <c r="T72">
        <v>2</v>
      </c>
      <c r="V72">
        <v>3</v>
      </c>
      <c r="W72" t="s">
        <v>65</v>
      </c>
      <c r="X72" t="s">
        <v>130</v>
      </c>
      <c r="Y72" t="s">
        <v>36</v>
      </c>
      <c r="Z72" t="s">
        <v>133</v>
      </c>
      <c r="AA72" t="s">
        <v>63</v>
      </c>
      <c r="AB72">
        <v>1</v>
      </c>
      <c r="AD72">
        <v>2</v>
      </c>
      <c r="AE72" t="s">
        <v>145</v>
      </c>
      <c r="AF72" t="s">
        <v>146</v>
      </c>
      <c r="AG72" t="s">
        <v>104</v>
      </c>
      <c r="AH72" t="s">
        <v>150</v>
      </c>
      <c r="AI72">
        <v>0</v>
      </c>
      <c r="AJ72">
        <v>25</v>
      </c>
    </row>
    <row r="73" spans="1:36" x14ac:dyDescent="0.25">
      <c r="A73" t="s">
        <v>359</v>
      </c>
      <c r="B73">
        <v>71</v>
      </c>
      <c r="C73" t="s">
        <v>53</v>
      </c>
      <c r="D73">
        <v>2</v>
      </c>
      <c r="E73">
        <v>1</v>
      </c>
      <c r="F73">
        <v>2</v>
      </c>
      <c r="G73" t="s">
        <v>112</v>
      </c>
      <c r="H73" t="s">
        <v>113</v>
      </c>
      <c r="K73" t="s">
        <v>45</v>
      </c>
      <c r="L73">
        <v>3</v>
      </c>
      <c r="N73">
        <v>1</v>
      </c>
      <c r="O73" t="s">
        <v>140</v>
      </c>
      <c r="P73" t="s">
        <v>141</v>
      </c>
      <c r="Q73" t="s">
        <v>102</v>
      </c>
      <c r="S73" t="s">
        <v>33</v>
      </c>
      <c r="T73">
        <v>2</v>
      </c>
      <c r="V73">
        <v>2</v>
      </c>
      <c r="W73" t="s">
        <v>65</v>
      </c>
      <c r="X73" t="s">
        <v>130</v>
      </c>
      <c r="Y73" t="s">
        <v>131</v>
      </c>
      <c r="AA73" t="s">
        <v>38</v>
      </c>
      <c r="AB73">
        <v>3</v>
      </c>
      <c r="AC73">
        <v>1</v>
      </c>
      <c r="AD73">
        <v>3</v>
      </c>
      <c r="AE73" t="s">
        <v>67</v>
      </c>
      <c r="AI73">
        <v>0</v>
      </c>
      <c r="AJ73">
        <v>19</v>
      </c>
    </row>
    <row r="74" spans="1:36" x14ac:dyDescent="0.25">
      <c r="A74" t="s">
        <v>360</v>
      </c>
      <c r="B74">
        <v>72</v>
      </c>
      <c r="C74" t="s">
        <v>53</v>
      </c>
      <c r="D74">
        <v>1</v>
      </c>
      <c r="E74">
        <v>1</v>
      </c>
      <c r="F74">
        <v>3</v>
      </c>
      <c r="G74" t="s">
        <v>112</v>
      </c>
      <c r="H74" t="s">
        <v>113</v>
      </c>
      <c r="K74" t="s">
        <v>45</v>
      </c>
      <c r="L74">
        <v>3</v>
      </c>
      <c r="N74">
        <v>2</v>
      </c>
      <c r="O74" t="s">
        <v>140</v>
      </c>
      <c r="P74" t="s">
        <v>76</v>
      </c>
      <c r="Q74" t="s">
        <v>93</v>
      </c>
      <c r="S74" t="s">
        <v>43</v>
      </c>
      <c r="T74">
        <v>3</v>
      </c>
      <c r="V74">
        <v>1</v>
      </c>
      <c r="W74" t="s">
        <v>44</v>
      </c>
      <c r="AA74" t="s">
        <v>63</v>
      </c>
      <c r="AB74">
        <v>3</v>
      </c>
      <c r="AD74">
        <v>1</v>
      </c>
      <c r="AE74" t="s">
        <v>103</v>
      </c>
      <c r="AF74" t="s">
        <v>95</v>
      </c>
      <c r="AG74" t="s">
        <v>104</v>
      </c>
      <c r="AI74">
        <v>0</v>
      </c>
      <c r="AJ74">
        <v>18</v>
      </c>
    </row>
    <row r="75" spans="1:36" x14ac:dyDescent="0.25">
      <c r="A75" t="s">
        <v>361</v>
      </c>
      <c r="B75">
        <v>73</v>
      </c>
      <c r="C75" t="s">
        <v>53</v>
      </c>
      <c r="D75">
        <v>1</v>
      </c>
      <c r="E75">
        <v>1</v>
      </c>
      <c r="F75">
        <v>1</v>
      </c>
      <c r="G75" t="s">
        <v>112</v>
      </c>
      <c r="H75" t="s">
        <v>113</v>
      </c>
      <c r="I75" t="s">
        <v>114</v>
      </c>
      <c r="J75" t="s">
        <v>98</v>
      </c>
      <c r="K75" t="s">
        <v>45</v>
      </c>
      <c r="L75">
        <v>3</v>
      </c>
      <c r="N75">
        <v>1</v>
      </c>
      <c r="O75" t="s">
        <v>140</v>
      </c>
      <c r="P75" t="s">
        <v>76</v>
      </c>
      <c r="Q75" t="s">
        <v>93</v>
      </c>
      <c r="S75" t="s">
        <v>43</v>
      </c>
      <c r="T75">
        <v>1</v>
      </c>
      <c r="V75">
        <v>1</v>
      </c>
      <c r="W75" t="s">
        <v>44</v>
      </c>
      <c r="X75" t="s">
        <v>136</v>
      </c>
      <c r="Y75" t="s">
        <v>137</v>
      </c>
      <c r="AA75" t="s">
        <v>38</v>
      </c>
      <c r="AB75">
        <v>2</v>
      </c>
      <c r="AC75">
        <v>1</v>
      </c>
      <c r="AD75">
        <v>2</v>
      </c>
      <c r="AE75" t="s">
        <v>67</v>
      </c>
      <c r="AF75" t="s">
        <v>40</v>
      </c>
      <c r="AG75" t="s">
        <v>153</v>
      </c>
      <c r="AI75">
        <v>0</v>
      </c>
      <c r="AJ75">
        <v>17</v>
      </c>
    </row>
    <row r="76" spans="1:36" x14ac:dyDescent="0.25">
      <c r="A76" t="s">
        <v>362</v>
      </c>
      <c r="B76">
        <v>74</v>
      </c>
      <c r="C76" t="s">
        <v>63</v>
      </c>
      <c r="D76">
        <v>2</v>
      </c>
      <c r="F76">
        <v>1</v>
      </c>
      <c r="G76" t="s">
        <v>103</v>
      </c>
      <c r="H76" t="s">
        <v>95</v>
      </c>
      <c r="I76" t="s">
        <v>147</v>
      </c>
      <c r="K76" t="s">
        <v>38</v>
      </c>
      <c r="L76">
        <v>3</v>
      </c>
      <c r="M76">
        <v>1</v>
      </c>
      <c r="N76">
        <v>2</v>
      </c>
      <c r="O76" t="s">
        <v>152</v>
      </c>
      <c r="S76" t="s">
        <v>53</v>
      </c>
      <c r="T76">
        <v>1</v>
      </c>
      <c r="U76">
        <v>1</v>
      </c>
      <c r="V76">
        <v>1</v>
      </c>
      <c r="W76" t="s">
        <v>111</v>
      </c>
      <c r="X76" t="s">
        <v>83</v>
      </c>
      <c r="Y76" t="s">
        <v>105</v>
      </c>
      <c r="AA76" t="s">
        <v>45</v>
      </c>
      <c r="AB76">
        <v>3</v>
      </c>
      <c r="AD76">
        <v>1</v>
      </c>
      <c r="AE76" t="s">
        <v>140</v>
      </c>
      <c r="AF76" t="s">
        <v>76</v>
      </c>
      <c r="AI76">
        <v>0</v>
      </c>
      <c r="AJ76">
        <v>15</v>
      </c>
    </row>
    <row r="77" spans="1:36" x14ac:dyDescent="0.25">
      <c r="A77" t="s">
        <v>363</v>
      </c>
      <c r="B77">
        <v>75</v>
      </c>
      <c r="C77" t="s">
        <v>56</v>
      </c>
      <c r="D77">
        <v>3</v>
      </c>
      <c r="F77">
        <v>3</v>
      </c>
      <c r="G77" t="s">
        <v>120</v>
      </c>
      <c r="H77" t="s">
        <v>122</v>
      </c>
      <c r="I77" t="s">
        <v>123</v>
      </c>
      <c r="J77" t="s">
        <v>124</v>
      </c>
      <c r="K77" t="s">
        <v>48</v>
      </c>
      <c r="L77">
        <v>2</v>
      </c>
      <c r="N77">
        <v>1</v>
      </c>
      <c r="O77" t="s">
        <v>49</v>
      </c>
      <c r="P77" t="s">
        <v>84</v>
      </c>
      <c r="S77" t="s">
        <v>53</v>
      </c>
      <c r="T77">
        <v>3</v>
      </c>
      <c r="U77">
        <v>3</v>
      </c>
      <c r="V77">
        <v>3</v>
      </c>
      <c r="W77" t="s">
        <v>112</v>
      </c>
      <c r="X77" t="s">
        <v>55</v>
      </c>
      <c r="Y77" t="s">
        <v>97</v>
      </c>
      <c r="Z77" t="s">
        <v>116</v>
      </c>
      <c r="AA77" t="s">
        <v>63</v>
      </c>
      <c r="AB77">
        <v>3</v>
      </c>
      <c r="AD77">
        <v>2</v>
      </c>
      <c r="AE77" t="s">
        <v>72</v>
      </c>
      <c r="AF77" t="s">
        <v>95</v>
      </c>
      <c r="AG77" t="s">
        <v>104</v>
      </c>
      <c r="AH77" t="s">
        <v>151</v>
      </c>
      <c r="AI77">
        <v>0</v>
      </c>
      <c r="AJ77">
        <v>38</v>
      </c>
    </row>
    <row r="78" spans="1:36" x14ac:dyDescent="0.25">
      <c r="A78" t="s">
        <v>364</v>
      </c>
      <c r="B78">
        <v>76</v>
      </c>
      <c r="C78" t="s">
        <v>53</v>
      </c>
      <c r="D78">
        <v>2</v>
      </c>
      <c r="E78">
        <v>1</v>
      </c>
      <c r="F78">
        <v>2</v>
      </c>
      <c r="G78" t="s">
        <v>111</v>
      </c>
      <c r="K78" t="s">
        <v>63</v>
      </c>
      <c r="L78">
        <v>3</v>
      </c>
      <c r="N78">
        <v>1</v>
      </c>
      <c r="O78" t="s">
        <v>72</v>
      </c>
      <c r="P78" t="s">
        <v>146</v>
      </c>
      <c r="Q78" t="s">
        <v>104</v>
      </c>
      <c r="R78" t="s">
        <v>151</v>
      </c>
      <c r="S78" t="s">
        <v>56</v>
      </c>
      <c r="T78">
        <v>3</v>
      </c>
      <c r="V78">
        <v>2</v>
      </c>
      <c r="W78" t="s">
        <v>57</v>
      </c>
      <c r="X78" t="s">
        <v>122</v>
      </c>
      <c r="Y78" t="s">
        <v>87</v>
      </c>
      <c r="Z78" t="s">
        <v>124</v>
      </c>
      <c r="AA78" t="s">
        <v>33</v>
      </c>
      <c r="AB78">
        <v>1</v>
      </c>
      <c r="AD78">
        <v>3</v>
      </c>
      <c r="AE78" t="s">
        <v>34</v>
      </c>
      <c r="AF78" t="s">
        <v>66</v>
      </c>
      <c r="AI78">
        <v>0</v>
      </c>
      <c r="AJ78">
        <v>21</v>
      </c>
    </row>
    <row r="79" spans="1:36" x14ac:dyDescent="0.25">
      <c r="A79" t="s">
        <v>365</v>
      </c>
      <c r="B79">
        <v>77</v>
      </c>
      <c r="C79" t="s">
        <v>56</v>
      </c>
      <c r="D79">
        <v>3</v>
      </c>
      <c r="F79">
        <v>3</v>
      </c>
      <c r="G79" t="s">
        <v>57</v>
      </c>
      <c r="H79" t="s">
        <v>122</v>
      </c>
      <c r="I79" t="s">
        <v>85</v>
      </c>
      <c r="J79" t="s">
        <v>124</v>
      </c>
      <c r="K79" t="s">
        <v>43</v>
      </c>
      <c r="L79">
        <v>2</v>
      </c>
      <c r="N79">
        <v>1</v>
      </c>
      <c r="O79" t="s">
        <v>44</v>
      </c>
      <c r="P79" t="s">
        <v>99</v>
      </c>
      <c r="Q79" t="s">
        <v>75</v>
      </c>
      <c r="S79" t="s">
        <v>53</v>
      </c>
      <c r="T79">
        <v>2</v>
      </c>
      <c r="U79">
        <v>3</v>
      </c>
      <c r="V79">
        <v>3</v>
      </c>
      <c r="W79" t="s">
        <v>112</v>
      </c>
      <c r="X79" t="s">
        <v>55</v>
      </c>
      <c r="Y79" t="s">
        <v>105</v>
      </c>
      <c r="Z79" t="s">
        <v>115</v>
      </c>
      <c r="AA79" t="s">
        <v>63</v>
      </c>
      <c r="AB79">
        <v>1</v>
      </c>
      <c r="AD79">
        <v>1</v>
      </c>
      <c r="AE79" t="s">
        <v>72</v>
      </c>
      <c r="AI79">
        <v>0</v>
      </c>
      <c r="AJ79">
        <v>23</v>
      </c>
    </row>
    <row r="80" spans="1:36" x14ac:dyDescent="0.25">
      <c r="A80" t="s">
        <v>366</v>
      </c>
      <c r="B80">
        <v>78</v>
      </c>
      <c r="C80" t="s">
        <v>56</v>
      </c>
      <c r="D80">
        <v>3</v>
      </c>
      <c r="F80">
        <v>1</v>
      </c>
      <c r="G80" t="s">
        <v>57</v>
      </c>
      <c r="H80" t="s">
        <v>69</v>
      </c>
      <c r="I80" t="s">
        <v>85</v>
      </c>
      <c r="J80" t="s">
        <v>124</v>
      </c>
      <c r="K80" t="s">
        <v>45</v>
      </c>
      <c r="L80">
        <v>3</v>
      </c>
      <c r="N80">
        <v>1</v>
      </c>
      <c r="O80" t="s">
        <v>86</v>
      </c>
      <c r="P80" t="s">
        <v>76</v>
      </c>
      <c r="Q80" t="s">
        <v>102</v>
      </c>
      <c r="R80" t="s">
        <v>143</v>
      </c>
      <c r="S80" t="s">
        <v>53</v>
      </c>
      <c r="T80">
        <v>1</v>
      </c>
      <c r="U80">
        <v>2</v>
      </c>
      <c r="V80">
        <v>3</v>
      </c>
      <c r="W80" t="s">
        <v>112</v>
      </c>
      <c r="X80" t="s">
        <v>55</v>
      </c>
      <c r="Y80" t="s">
        <v>97</v>
      </c>
      <c r="AA80" t="s">
        <v>63</v>
      </c>
      <c r="AB80">
        <v>1</v>
      </c>
      <c r="AD80">
        <v>1</v>
      </c>
      <c r="AE80" t="s">
        <v>72</v>
      </c>
      <c r="AF80" t="s">
        <v>146</v>
      </c>
      <c r="AG80" t="s">
        <v>104</v>
      </c>
      <c r="AI80">
        <v>0</v>
      </c>
      <c r="AJ80">
        <v>21</v>
      </c>
    </row>
    <row r="81" spans="1:36" x14ac:dyDescent="0.25">
      <c r="A81" t="s">
        <v>367</v>
      </c>
      <c r="B81">
        <v>79</v>
      </c>
      <c r="C81" t="s">
        <v>53</v>
      </c>
      <c r="D81">
        <v>2</v>
      </c>
      <c r="E81">
        <v>1</v>
      </c>
      <c r="F81">
        <v>3</v>
      </c>
      <c r="G81" t="s">
        <v>112</v>
      </c>
      <c r="H81" t="s">
        <v>83</v>
      </c>
      <c r="I81" t="s">
        <v>97</v>
      </c>
      <c r="J81" t="s">
        <v>116</v>
      </c>
      <c r="K81" t="s">
        <v>63</v>
      </c>
      <c r="L81">
        <v>1</v>
      </c>
      <c r="N81">
        <v>1</v>
      </c>
      <c r="O81" t="s">
        <v>103</v>
      </c>
      <c r="P81" t="s">
        <v>146</v>
      </c>
      <c r="Q81" t="s">
        <v>104</v>
      </c>
      <c r="R81" t="s">
        <v>150</v>
      </c>
      <c r="S81" t="s">
        <v>56</v>
      </c>
      <c r="T81">
        <v>3</v>
      </c>
      <c r="V81">
        <v>1</v>
      </c>
      <c r="W81" t="s">
        <v>57</v>
      </c>
      <c r="X81" t="s">
        <v>122</v>
      </c>
      <c r="Y81" t="s">
        <v>123</v>
      </c>
      <c r="AA81" t="s">
        <v>38</v>
      </c>
      <c r="AB81">
        <v>3</v>
      </c>
      <c r="AC81">
        <v>2</v>
      </c>
      <c r="AD81">
        <v>2</v>
      </c>
      <c r="AE81" t="s">
        <v>152</v>
      </c>
      <c r="AF81" t="s">
        <v>40</v>
      </c>
      <c r="AG81" t="s">
        <v>154</v>
      </c>
      <c r="AH81" t="s">
        <v>155</v>
      </c>
      <c r="AI81">
        <v>0</v>
      </c>
      <c r="AJ81">
        <v>25</v>
      </c>
    </row>
    <row r="82" spans="1:36" x14ac:dyDescent="0.25">
      <c r="A82" t="s">
        <v>368</v>
      </c>
      <c r="B82">
        <v>80</v>
      </c>
      <c r="C82" t="s">
        <v>53</v>
      </c>
      <c r="D82">
        <v>3</v>
      </c>
      <c r="E82">
        <v>1</v>
      </c>
      <c r="F82">
        <v>2</v>
      </c>
      <c r="G82" t="s">
        <v>111</v>
      </c>
      <c r="H82" t="s">
        <v>83</v>
      </c>
      <c r="I82" t="s">
        <v>105</v>
      </c>
      <c r="J82" t="s">
        <v>116</v>
      </c>
      <c r="K82" t="s">
        <v>63</v>
      </c>
      <c r="L82">
        <v>1</v>
      </c>
      <c r="N82">
        <v>2</v>
      </c>
      <c r="O82" t="s">
        <v>72</v>
      </c>
      <c r="P82" t="s">
        <v>146</v>
      </c>
      <c r="Q82" t="s">
        <v>148</v>
      </c>
      <c r="S82" t="s">
        <v>48</v>
      </c>
      <c r="T82">
        <v>3</v>
      </c>
      <c r="V82">
        <v>2</v>
      </c>
      <c r="W82" t="s">
        <v>49</v>
      </c>
      <c r="X82" t="s">
        <v>50</v>
      </c>
      <c r="Y82" t="s">
        <v>127</v>
      </c>
      <c r="Z82" t="s">
        <v>52</v>
      </c>
      <c r="AA82" t="s">
        <v>33</v>
      </c>
      <c r="AB82">
        <v>2</v>
      </c>
      <c r="AD82">
        <v>3</v>
      </c>
      <c r="AE82" t="s">
        <v>34</v>
      </c>
      <c r="AF82" t="s">
        <v>130</v>
      </c>
      <c r="AI82">
        <v>0</v>
      </c>
      <c r="AJ82">
        <v>24</v>
      </c>
    </row>
    <row r="83" spans="1:36" x14ac:dyDescent="0.25">
      <c r="A83" t="s">
        <v>369</v>
      </c>
      <c r="B83">
        <v>81</v>
      </c>
      <c r="C83" t="s">
        <v>48</v>
      </c>
      <c r="D83">
        <v>2</v>
      </c>
      <c r="F83">
        <v>2</v>
      </c>
      <c r="G83" t="s">
        <v>49</v>
      </c>
      <c r="H83" t="s">
        <v>84</v>
      </c>
      <c r="I83" t="s">
        <v>90</v>
      </c>
      <c r="K83" t="s">
        <v>43</v>
      </c>
      <c r="L83">
        <v>2</v>
      </c>
      <c r="N83">
        <v>2</v>
      </c>
      <c r="O83" t="s">
        <v>44</v>
      </c>
      <c r="P83" t="s">
        <v>99</v>
      </c>
      <c r="Q83" t="s">
        <v>75</v>
      </c>
      <c r="R83" t="s">
        <v>138</v>
      </c>
      <c r="S83" t="s">
        <v>53</v>
      </c>
      <c r="T83">
        <v>2</v>
      </c>
      <c r="U83">
        <v>2</v>
      </c>
      <c r="V83">
        <v>2</v>
      </c>
      <c r="W83" t="s">
        <v>112</v>
      </c>
      <c r="X83" t="s">
        <v>55</v>
      </c>
      <c r="Y83" t="s">
        <v>105</v>
      </c>
      <c r="AA83" t="s">
        <v>63</v>
      </c>
      <c r="AB83">
        <v>1</v>
      </c>
      <c r="AD83">
        <v>1</v>
      </c>
      <c r="AE83" t="s">
        <v>72</v>
      </c>
      <c r="AF83" t="s">
        <v>95</v>
      </c>
      <c r="AG83" t="s">
        <v>147</v>
      </c>
      <c r="AI83">
        <v>0</v>
      </c>
      <c r="AJ83">
        <v>21</v>
      </c>
    </row>
    <row r="84" spans="1:36" x14ac:dyDescent="0.25">
      <c r="A84" t="s">
        <v>370</v>
      </c>
      <c r="B84">
        <v>82</v>
      </c>
      <c r="C84" t="s">
        <v>53</v>
      </c>
      <c r="D84">
        <v>3</v>
      </c>
      <c r="E84">
        <v>1</v>
      </c>
      <c r="F84">
        <v>3</v>
      </c>
      <c r="G84" t="s">
        <v>112</v>
      </c>
      <c r="H84" t="s">
        <v>55</v>
      </c>
      <c r="I84" t="s">
        <v>114</v>
      </c>
      <c r="K84" t="s">
        <v>63</v>
      </c>
      <c r="L84">
        <v>3</v>
      </c>
      <c r="N84">
        <v>1</v>
      </c>
      <c r="O84" t="s">
        <v>72</v>
      </c>
      <c r="P84" t="s">
        <v>146</v>
      </c>
      <c r="Q84" t="s">
        <v>148</v>
      </c>
      <c r="R84" t="s">
        <v>150</v>
      </c>
      <c r="S84" t="s">
        <v>48</v>
      </c>
      <c r="T84">
        <v>2</v>
      </c>
      <c r="V84">
        <v>2</v>
      </c>
      <c r="W84" t="s">
        <v>49</v>
      </c>
      <c r="X84" t="s">
        <v>71</v>
      </c>
      <c r="Y84" t="s">
        <v>127</v>
      </c>
      <c r="Z84" t="s">
        <v>52</v>
      </c>
      <c r="AA84" t="s">
        <v>45</v>
      </c>
      <c r="AB84">
        <v>3</v>
      </c>
      <c r="AD84">
        <v>1</v>
      </c>
      <c r="AE84" t="s">
        <v>86</v>
      </c>
      <c r="AI84">
        <v>0</v>
      </c>
      <c r="AJ84">
        <v>22</v>
      </c>
    </row>
    <row r="85" spans="1:36" x14ac:dyDescent="0.25">
      <c r="A85" t="s">
        <v>371</v>
      </c>
      <c r="B85">
        <v>83</v>
      </c>
      <c r="C85" t="s">
        <v>48</v>
      </c>
      <c r="D85">
        <v>1</v>
      </c>
      <c r="F85">
        <v>1</v>
      </c>
      <c r="G85" t="s">
        <v>49</v>
      </c>
      <c r="H85" t="s">
        <v>50</v>
      </c>
      <c r="I85" t="s">
        <v>127</v>
      </c>
      <c r="J85" t="s">
        <v>129</v>
      </c>
      <c r="K85" t="s">
        <v>38</v>
      </c>
      <c r="L85">
        <v>3</v>
      </c>
      <c r="M85">
        <v>2</v>
      </c>
      <c r="N85">
        <v>1</v>
      </c>
      <c r="O85" t="s">
        <v>152</v>
      </c>
      <c r="P85" t="s">
        <v>96</v>
      </c>
      <c r="Q85" t="s">
        <v>41</v>
      </c>
      <c r="S85" t="s">
        <v>53</v>
      </c>
      <c r="T85">
        <v>3</v>
      </c>
      <c r="U85">
        <v>1</v>
      </c>
      <c r="V85">
        <v>1</v>
      </c>
      <c r="W85" t="s">
        <v>111</v>
      </c>
      <c r="X85" t="s">
        <v>83</v>
      </c>
      <c r="Y85" t="s">
        <v>105</v>
      </c>
      <c r="AA85" t="s">
        <v>63</v>
      </c>
      <c r="AB85">
        <v>2</v>
      </c>
      <c r="AD85">
        <v>1</v>
      </c>
      <c r="AE85" t="s">
        <v>72</v>
      </c>
      <c r="AF85" t="s">
        <v>146</v>
      </c>
      <c r="AI85">
        <v>0</v>
      </c>
      <c r="AJ85">
        <v>18</v>
      </c>
    </row>
    <row r="86" spans="1:36" x14ac:dyDescent="0.25">
      <c r="A86" t="s">
        <v>372</v>
      </c>
      <c r="B86">
        <v>84</v>
      </c>
      <c r="C86" t="s">
        <v>53</v>
      </c>
      <c r="D86">
        <v>1</v>
      </c>
      <c r="E86">
        <v>1</v>
      </c>
      <c r="F86">
        <v>1</v>
      </c>
      <c r="G86" t="s">
        <v>112</v>
      </c>
      <c r="H86" t="s">
        <v>83</v>
      </c>
      <c r="I86" t="s">
        <v>97</v>
      </c>
      <c r="K86" t="s">
        <v>63</v>
      </c>
      <c r="L86">
        <v>2</v>
      </c>
      <c r="N86">
        <v>2</v>
      </c>
      <c r="O86" t="s">
        <v>145</v>
      </c>
      <c r="P86" t="s">
        <v>95</v>
      </c>
      <c r="Q86" t="s">
        <v>147</v>
      </c>
      <c r="S86" t="s">
        <v>33</v>
      </c>
      <c r="T86">
        <v>2</v>
      </c>
      <c r="V86">
        <v>1</v>
      </c>
      <c r="W86" t="s">
        <v>34</v>
      </c>
      <c r="X86" t="s">
        <v>130</v>
      </c>
      <c r="AA86" t="s">
        <v>43</v>
      </c>
      <c r="AB86">
        <v>3</v>
      </c>
      <c r="AD86">
        <v>1</v>
      </c>
      <c r="AE86" t="s">
        <v>135</v>
      </c>
      <c r="AF86" t="s">
        <v>99</v>
      </c>
      <c r="AG86" t="s">
        <v>137</v>
      </c>
      <c r="AI86">
        <v>0</v>
      </c>
      <c r="AJ86">
        <v>16</v>
      </c>
    </row>
    <row r="87" spans="1:36" x14ac:dyDescent="0.25">
      <c r="A87" t="s">
        <v>373</v>
      </c>
      <c r="B87">
        <v>85</v>
      </c>
      <c r="C87" t="s">
        <v>33</v>
      </c>
      <c r="D87">
        <v>3</v>
      </c>
      <c r="F87">
        <v>3</v>
      </c>
      <c r="G87" t="s">
        <v>34</v>
      </c>
      <c r="H87" t="s">
        <v>130</v>
      </c>
      <c r="I87" t="s">
        <v>131</v>
      </c>
      <c r="J87" t="s">
        <v>134</v>
      </c>
      <c r="K87" t="s">
        <v>45</v>
      </c>
      <c r="L87">
        <v>3</v>
      </c>
      <c r="N87">
        <v>1</v>
      </c>
      <c r="O87" t="s">
        <v>140</v>
      </c>
      <c r="P87" t="s">
        <v>92</v>
      </c>
      <c r="S87" t="s">
        <v>53</v>
      </c>
      <c r="T87">
        <v>1</v>
      </c>
      <c r="U87">
        <v>1</v>
      </c>
      <c r="V87">
        <v>1</v>
      </c>
      <c r="W87" t="s">
        <v>112</v>
      </c>
      <c r="X87" t="s">
        <v>83</v>
      </c>
      <c r="Y87" t="s">
        <v>97</v>
      </c>
      <c r="Z87" t="s">
        <v>116</v>
      </c>
      <c r="AA87" t="s">
        <v>63</v>
      </c>
      <c r="AB87">
        <v>3</v>
      </c>
      <c r="AD87">
        <v>2</v>
      </c>
      <c r="AE87" t="s">
        <v>145</v>
      </c>
      <c r="AF87" t="s">
        <v>146</v>
      </c>
      <c r="AG87" t="s">
        <v>104</v>
      </c>
      <c r="AH87" t="s">
        <v>149</v>
      </c>
      <c r="AI87">
        <v>0</v>
      </c>
      <c r="AJ87">
        <v>25</v>
      </c>
    </row>
    <row r="88" spans="1:36" x14ac:dyDescent="0.25">
      <c r="A88" t="s">
        <v>374</v>
      </c>
      <c r="B88">
        <v>86</v>
      </c>
      <c r="C88" t="s">
        <v>53</v>
      </c>
      <c r="D88">
        <v>3</v>
      </c>
      <c r="E88">
        <v>3</v>
      </c>
      <c r="F88">
        <v>3</v>
      </c>
      <c r="G88" t="s">
        <v>111</v>
      </c>
      <c r="H88" t="s">
        <v>83</v>
      </c>
      <c r="I88" t="s">
        <v>105</v>
      </c>
      <c r="J88" t="s">
        <v>115</v>
      </c>
      <c r="K88" t="s">
        <v>63</v>
      </c>
      <c r="L88">
        <v>3</v>
      </c>
      <c r="N88">
        <v>3</v>
      </c>
      <c r="O88" t="s">
        <v>145</v>
      </c>
      <c r="P88" t="s">
        <v>146</v>
      </c>
      <c r="Q88" t="s">
        <v>147</v>
      </c>
      <c r="R88" t="s">
        <v>149</v>
      </c>
      <c r="S88" t="s">
        <v>33</v>
      </c>
      <c r="T88">
        <v>2</v>
      </c>
      <c r="V88">
        <v>1</v>
      </c>
      <c r="W88" t="s">
        <v>34</v>
      </c>
      <c r="AA88" t="s">
        <v>38</v>
      </c>
      <c r="AB88">
        <v>3</v>
      </c>
      <c r="AC88">
        <v>3</v>
      </c>
      <c r="AD88">
        <v>3</v>
      </c>
      <c r="AE88" t="s">
        <v>152</v>
      </c>
      <c r="AF88" t="s">
        <v>96</v>
      </c>
      <c r="AG88" t="s">
        <v>41</v>
      </c>
      <c r="AH88" t="s">
        <v>42</v>
      </c>
      <c r="AI88">
        <v>0</v>
      </c>
      <c r="AJ88">
        <v>34</v>
      </c>
    </row>
    <row r="89" spans="1:36" x14ac:dyDescent="0.25">
      <c r="A89" t="s">
        <v>375</v>
      </c>
      <c r="B89">
        <v>87</v>
      </c>
      <c r="C89" t="s">
        <v>53</v>
      </c>
      <c r="D89">
        <v>3</v>
      </c>
      <c r="E89">
        <v>2</v>
      </c>
      <c r="F89">
        <v>3</v>
      </c>
      <c r="G89" t="s">
        <v>112</v>
      </c>
      <c r="H89" t="s">
        <v>55</v>
      </c>
      <c r="I89" t="s">
        <v>97</v>
      </c>
      <c r="J89" t="s">
        <v>98</v>
      </c>
      <c r="K89" t="s">
        <v>63</v>
      </c>
      <c r="L89">
        <v>1</v>
      </c>
      <c r="N89">
        <v>1</v>
      </c>
      <c r="O89" t="s">
        <v>72</v>
      </c>
      <c r="P89" t="s">
        <v>146</v>
      </c>
      <c r="Q89" t="s">
        <v>148</v>
      </c>
      <c r="S89" t="s">
        <v>43</v>
      </c>
      <c r="T89">
        <v>3</v>
      </c>
      <c r="V89">
        <v>1</v>
      </c>
      <c r="W89" t="s">
        <v>44</v>
      </c>
      <c r="X89" t="s">
        <v>99</v>
      </c>
      <c r="Y89" t="s">
        <v>75</v>
      </c>
      <c r="AA89" t="s">
        <v>45</v>
      </c>
      <c r="AB89">
        <v>3</v>
      </c>
      <c r="AD89">
        <v>3</v>
      </c>
      <c r="AE89" t="s">
        <v>140</v>
      </c>
      <c r="AF89" t="s">
        <v>76</v>
      </c>
      <c r="AG89" t="s">
        <v>102</v>
      </c>
      <c r="AH89" t="s">
        <v>143</v>
      </c>
      <c r="AI89">
        <v>0</v>
      </c>
      <c r="AJ89">
        <v>26</v>
      </c>
    </row>
    <row r="90" spans="1:36" x14ac:dyDescent="0.25">
      <c r="A90" t="s">
        <v>376</v>
      </c>
      <c r="B90">
        <v>88</v>
      </c>
      <c r="C90" t="s">
        <v>53</v>
      </c>
      <c r="D90">
        <v>1</v>
      </c>
      <c r="E90">
        <v>1</v>
      </c>
      <c r="F90">
        <v>2</v>
      </c>
      <c r="G90" t="s">
        <v>112</v>
      </c>
      <c r="H90" t="s">
        <v>55</v>
      </c>
      <c r="I90" t="s">
        <v>97</v>
      </c>
      <c r="J90" t="s">
        <v>98</v>
      </c>
      <c r="K90" t="s">
        <v>63</v>
      </c>
      <c r="L90">
        <v>2</v>
      </c>
      <c r="N90">
        <v>1</v>
      </c>
      <c r="O90" t="s">
        <v>72</v>
      </c>
      <c r="P90" t="s">
        <v>146</v>
      </c>
      <c r="Q90" t="s">
        <v>104</v>
      </c>
      <c r="S90" t="s">
        <v>43</v>
      </c>
      <c r="T90">
        <v>3</v>
      </c>
      <c r="V90">
        <v>1</v>
      </c>
      <c r="W90" t="s">
        <v>44</v>
      </c>
      <c r="AA90" t="s">
        <v>38</v>
      </c>
      <c r="AB90">
        <v>3</v>
      </c>
      <c r="AC90">
        <v>2</v>
      </c>
      <c r="AD90">
        <v>1</v>
      </c>
      <c r="AE90" t="s">
        <v>152</v>
      </c>
      <c r="AF90" t="s">
        <v>40</v>
      </c>
      <c r="AI90">
        <v>0</v>
      </c>
      <c r="AJ90">
        <v>18</v>
      </c>
    </row>
    <row r="91" spans="1:36" x14ac:dyDescent="0.25">
      <c r="A91" t="s">
        <v>377</v>
      </c>
      <c r="B91">
        <v>89</v>
      </c>
      <c r="C91" t="s">
        <v>53</v>
      </c>
      <c r="D91">
        <v>3</v>
      </c>
      <c r="E91">
        <v>3</v>
      </c>
      <c r="F91">
        <v>2</v>
      </c>
      <c r="G91" t="s">
        <v>112</v>
      </c>
      <c r="H91" t="s">
        <v>55</v>
      </c>
      <c r="I91" t="s">
        <v>97</v>
      </c>
      <c r="J91" t="s">
        <v>116</v>
      </c>
      <c r="K91" t="s">
        <v>63</v>
      </c>
      <c r="L91">
        <v>3</v>
      </c>
      <c r="N91">
        <v>3</v>
      </c>
      <c r="O91" t="s">
        <v>72</v>
      </c>
      <c r="P91" t="s">
        <v>146</v>
      </c>
      <c r="Q91" t="s">
        <v>147</v>
      </c>
      <c r="R91" t="s">
        <v>150</v>
      </c>
      <c r="S91" t="s">
        <v>45</v>
      </c>
      <c r="T91">
        <v>3</v>
      </c>
      <c r="V91">
        <v>3</v>
      </c>
      <c r="W91" t="s">
        <v>86</v>
      </c>
      <c r="X91" t="s">
        <v>141</v>
      </c>
      <c r="Y91" t="s">
        <v>93</v>
      </c>
      <c r="Z91" t="s">
        <v>143</v>
      </c>
      <c r="AA91" t="s">
        <v>38</v>
      </c>
      <c r="AB91">
        <v>3</v>
      </c>
      <c r="AC91">
        <v>2</v>
      </c>
      <c r="AD91">
        <v>3</v>
      </c>
      <c r="AE91" t="s">
        <v>152</v>
      </c>
      <c r="AF91" t="s">
        <v>40</v>
      </c>
      <c r="AG91" t="s">
        <v>153</v>
      </c>
      <c r="AI91">
        <v>0</v>
      </c>
      <c r="AJ91">
        <v>34</v>
      </c>
    </row>
    <row r="92" spans="1:36" x14ac:dyDescent="0.25">
      <c r="A92" t="s">
        <v>378</v>
      </c>
      <c r="B92">
        <v>90</v>
      </c>
      <c r="C92" t="s">
        <v>53</v>
      </c>
      <c r="D92">
        <v>2</v>
      </c>
      <c r="E92">
        <v>1</v>
      </c>
      <c r="F92">
        <v>2</v>
      </c>
      <c r="G92" t="s">
        <v>112</v>
      </c>
      <c r="K92" t="s">
        <v>38</v>
      </c>
      <c r="L92">
        <v>3</v>
      </c>
      <c r="M92">
        <v>2</v>
      </c>
      <c r="N92">
        <v>3</v>
      </c>
      <c r="O92" t="s">
        <v>67</v>
      </c>
      <c r="S92" t="s">
        <v>56</v>
      </c>
      <c r="T92">
        <v>3</v>
      </c>
      <c r="V92">
        <v>1</v>
      </c>
      <c r="W92" t="s">
        <v>57</v>
      </c>
      <c r="AA92" t="s">
        <v>48</v>
      </c>
      <c r="AB92">
        <v>2</v>
      </c>
      <c r="AD92">
        <v>1</v>
      </c>
      <c r="AE92" t="s">
        <v>49</v>
      </c>
      <c r="AF92" t="s">
        <v>84</v>
      </c>
      <c r="AG92" t="s">
        <v>127</v>
      </c>
      <c r="AH92" t="s">
        <v>52</v>
      </c>
      <c r="AI92">
        <v>0</v>
      </c>
      <c r="AJ92">
        <v>17</v>
      </c>
    </row>
    <row r="93" spans="1:36" x14ac:dyDescent="0.25">
      <c r="A93" t="s">
        <v>379</v>
      </c>
      <c r="B93">
        <v>91</v>
      </c>
      <c r="C93" t="s">
        <v>53</v>
      </c>
      <c r="D93">
        <v>1</v>
      </c>
      <c r="E93">
        <v>1</v>
      </c>
      <c r="F93">
        <v>3</v>
      </c>
      <c r="G93" t="s">
        <v>112</v>
      </c>
      <c r="H93" t="s">
        <v>113</v>
      </c>
      <c r="I93" t="s">
        <v>97</v>
      </c>
      <c r="J93" t="s">
        <v>116</v>
      </c>
      <c r="K93" t="s">
        <v>38</v>
      </c>
      <c r="L93">
        <v>3</v>
      </c>
      <c r="M93">
        <v>1</v>
      </c>
      <c r="N93">
        <v>2</v>
      </c>
      <c r="O93" t="s">
        <v>67</v>
      </c>
      <c r="P93" t="s">
        <v>96</v>
      </c>
      <c r="Q93" t="s">
        <v>154</v>
      </c>
      <c r="R93" t="s">
        <v>155</v>
      </c>
      <c r="S93" t="s">
        <v>56</v>
      </c>
      <c r="T93">
        <v>2</v>
      </c>
      <c r="V93">
        <v>2</v>
      </c>
      <c r="W93" t="s">
        <v>57</v>
      </c>
      <c r="X93" t="s">
        <v>122</v>
      </c>
      <c r="Y93" t="s">
        <v>85</v>
      </c>
      <c r="Z93" t="s">
        <v>124</v>
      </c>
      <c r="AA93" t="s">
        <v>33</v>
      </c>
      <c r="AB93">
        <v>1</v>
      </c>
      <c r="AD93">
        <v>2</v>
      </c>
      <c r="AE93" t="s">
        <v>65</v>
      </c>
      <c r="AF93" t="s">
        <v>130</v>
      </c>
      <c r="AG93" t="s">
        <v>131</v>
      </c>
      <c r="AI93">
        <v>0</v>
      </c>
      <c r="AJ93">
        <v>23</v>
      </c>
    </row>
    <row r="94" spans="1:36" x14ac:dyDescent="0.25">
      <c r="A94" t="s">
        <v>380</v>
      </c>
      <c r="B94">
        <v>92</v>
      </c>
      <c r="C94" t="s">
        <v>56</v>
      </c>
      <c r="D94">
        <v>3</v>
      </c>
      <c r="F94">
        <v>1</v>
      </c>
      <c r="G94" t="s">
        <v>57</v>
      </c>
      <c r="H94" t="s">
        <v>121</v>
      </c>
      <c r="I94" t="s">
        <v>123</v>
      </c>
      <c r="J94" t="s">
        <v>88</v>
      </c>
      <c r="K94" t="s">
        <v>43</v>
      </c>
      <c r="L94">
        <v>3</v>
      </c>
      <c r="N94">
        <v>1</v>
      </c>
      <c r="O94" t="s">
        <v>44</v>
      </c>
      <c r="P94" t="s">
        <v>136</v>
      </c>
      <c r="Q94" t="s">
        <v>75</v>
      </c>
      <c r="R94" t="s">
        <v>138</v>
      </c>
      <c r="S94" t="s">
        <v>53</v>
      </c>
      <c r="T94">
        <v>1</v>
      </c>
      <c r="U94">
        <v>1</v>
      </c>
      <c r="V94">
        <v>3</v>
      </c>
      <c r="W94" t="s">
        <v>112</v>
      </c>
      <c r="X94" t="s">
        <v>55</v>
      </c>
      <c r="Y94" t="s">
        <v>105</v>
      </c>
      <c r="Z94" t="s">
        <v>115</v>
      </c>
      <c r="AA94" t="s">
        <v>38</v>
      </c>
      <c r="AB94">
        <v>1</v>
      </c>
      <c r="AC94">
        <v>1</v>
      </c>
      <c r="AD94">
        <v>2</v>
      </c>
      <c r="AE94" t="s">
        <v>39</v>
      </c>
      <c r="AF94" t="s">
        <v>96</v>
      </c>
      <c r="AI94">
        <v>0</v>
      </c>
      <c r="AJ94">
        <v>21</v>
      </c>
    </row>
    <row r="95" spans="1:36" x14ac:dyDescent="0.25">
      <c r="A95" t="s">
        <v>381</v>
      </c>
      <c r="B95">
        <v>93</v>
      </c>
      <c r="C95" t="s">
        <v>56</v>
      </c>
      <c r="D95">
        <v>3</v>
      </c>
      <c r="F95">
        <v>2</v>
      </c>
      <c r="G95" t="s">
        <v>57</v>
      </c>
      <c r="H95" t="s">
        <v>121</v>
      </c>
      <c r="I95" t="s">
        <v>123</v>
      </c>
      <c r="J95" t="s">
        <v>124</v>
      </c>
      <c r="K95" t="s">
        <v>45</v>
      </c>
      <c r="L95">
        <v>3</v>
      </c>
      <c r="N95">
        <v>2</v>
      </c>
      <c r="O95" t="s">
        <v>140</v>
      </c>
      <c r="P95" t="s">
        <v>141</v>
      </c>
      <c r="Q95" t="s">
        <v>93</v>
      </c>
      <c r="R95" t="s">
        <v>94</v>
      </c>
      <c r="S95" t="s">
        <v>53</v>
      </c>
      <c r="T95">
        <v>1</v>
      </c>
      <c r="U95">
        <v>3</v>
      </c>
      <c r="V95">
        <v>3</v>
      </c>
      <c r="W95" t="s">
        <v>112</v>
      </c>
      <c r="X95" t="s">
        <v>55</v>
      </c>
      <c r="Y95" t="s">
        <v>97</v>
      </c>
      <c r="AA95" t="s">
        <v>38</v>
      </c>
      <c r="AB95">
        <v>1</v>
      </c>
      <c r="AC95">
        <v>1</v>
      </c>
      <c r="AD95">
        <v>2</v>
      </c>
      <c r="AE95" t="s">
        <v>39</v>
      </c>
      <c r="AF95" t="s">
        <v>96</v>
      </c>
      <c r="AI95">
        <v>0</v>
      </c>
      <c r="AJ95">
        <v>25</v>
      </c>
    </row>
    <row r="96" spans="1:36" x14ac:dyDescent="0.25">
      <c r="A96" t="s">
        <v>382</v>
      </c>
      <c r="B96">
        <v>94</v>
      </c>
      <c r="C96" t="s">
        <v>56</v>
      </c>
      <c r="D96">
        <v>2</v>
      </c>
      <c r="F96">
        <v>1</v>
      </c>
      <c r="G96" t="s">
        <v>57</v>
      </c>
      <c r="H96" t="s">
        <v>122</v>
      </c>
      <c r="I96" t="s">
        <v>85</v>
      </c>
      <c r="K96" t="s">
        <v>63</v>
      </c>
      <c r="L96">
        <v>1</v>
      </c>
      <c r="N96">
        <v>1</v>
      </c>
      <c r="O96" t="s">
        <v>103</v>
      </c>
      <c r="P96" t="s">
        <v>95</v>
      </c>
      <c r="Q96" t="s">
        <v>148</v>
      </c>
      <c r="R96" t="s">
        <v>150</v>
      </c>
      <c r="S96" t="s">
        <v>53</v>
      </c>
      <c r="T96">
        <v>3</v>
      </c>
      <c r="U96">
        <v>1</v>
      </c>
      <c r="V96">
        <v>1</v>
      </c>
      <c r="W96" t="s">
        <v>112</v>
      </c>
      <c r="X96" t="s">
        <v>55</v>
      </c>
      <c r="Y96" t="s">
        <v>114</v>
      </c>
      <c r="AA96" t="s">
        <v>38</v>
      </c>
      <c r="AB96">
        <v>2</v>
      </c>
      <c r="AC96">
        <v>1</v>
      </c>
      <c r="AD96">
        <v>1</v>
      </c>
      <c r="AE96" t="s">
        <v>39</v>
      </c>
      <c r="AF96" t="s">
        <v>96</v>
      </c>
      <c r="AI96">
        <v>0</v>
      </c>
      <c r="AJ96">
        <v>17</v>
      </c>
    </row>
    <row r="97" spans="1:36" x14ac:dyDescent="0.25">
      <c r="A97" t="s">
        <v>383</v>
      </c>
      <c r="B97">
        <v>95</v>
      </c>
      <c r="C97" t="s">
        <v>48</v>
      </c>
      <c r="D97">
        <v>1</v>
      </c>
      <c r="F97">
        <v>1</v>
      </c>
      <c r="G97" t="s">
        <v>49</v>
      </c>
      <c r="H97" t="s">
        <v>84</v>
      </c>
      <c r="I97" t="s">
        <v>127</v>
      </c>
      <c r="J97" t="s">
        <v>52</v>
      </c>
      <c r="K97" t="s">
        <v>33</v>
      </c>
      <c r="L97">
        <v>1</v>
      </c>
      <c r="N97">
        <v>2</v>
      </c>
      <c r="O97" t="s">
        <v>65</v>
      </c>
      <c r="P97" t="s">
        <v>130</v>
      </c>
      <c r="Q97" t="s">
        <v>36</v>
      </c>
      <c r="S97" t="s">
        <v>53</v>
      </c>
      <c r="T97">
        <v>3</v>
      </c>
      <c r="U97">
        <v>1</v>
      </c>
      <c r="V97">
        <v>2</v>
      </c>
      <c r="W97" t="s">
        <v>112</v>
      </c>
      <c r="AA97" t="s">
        <v>38</v>
      </c>
      <c r="AB97">
        <v>3</v>
      </c>
      <c r="AC97">
        <v>1</v>
      </c>
      <c r="AD97">
        <v>1</v>
      </c>
      <c r="AE97" t="s">
        <v>67</v>
      </c>
      <c r="AI97">
        <v>0</v>
      </c>
      <c r="AJ97">
        <v>16</v>
      </c>
    </row>
    <row r="98" spans="1:36" x14ac:dyDescent="0.25">
      <c r="A98" t="s">
        <v>384</v>
      </c>
      <c r="B98">
        <v>96</v>
      </c>
      <c r="C98" t="s">
        <v>53</v>
      </c>
      <c r="D98">
        <v>2</v>
      </c>
      <c r="E98">
        <v>1</v>
      </c>
      <c r="F98">
        <v>3</v>
      </c>
      <c r="G98" t="s">
        <v>112</v>
      </c>
      <c r="H98" t="s">
        <v>113</v>
      </c>
      <c r="I98" t="s">
        <v>97</v>
      </c>
      <c r="K98" t="s">
        <v>38</v>
      </c>
      <c r="L98">
        <v>3</v>
      </c>
      <c r="M98">
        <v>3</v>
      </c>
      <c r="N98">
        <v>2</v>
      </c>
      <c r="O98" t="s">
        <v>39</v>
      </c>
      <c r="P98" t="s">
        <v>40</v>
      </c>
      <c r="Q98" t="s">
        <v>153</v>
      </c>
      <c r="R98" t="s">
        <v>156</v>
      </c>
      <c r="S98" t="s">
        <v>48</v>
      </c>
      <c r="T98">
        <v>1</v>
      </c>
      <c r="V98">
        <v>1</v>
      </c>
      <c r="W98" t="s">
        <v>49</v>
      </c>
      <c r="X98" t="s">
        <v>84</v>
      </c>
      <c r="Y98" t="s">
        <v>90</v>
      </c>
      <c r="AA98" t="s">
        <v>43</v>
      </c>
      <c r="AB98">
        <v>3</v>
      </c>
      <c r="AD98">
        <v>3</v>
      </c>
      <c r="AE98" t="s">
        <v>73</v>
      </c>
      <c r="AF98" t="s">
        <v>99</v>
      </c>
      <c r="AG98" t="s">
        <v>75</v>
      </c>
      <c r="AH98" t="s">
        <v>101</v>
      </c>
      <c r="AI98">
        <v>0</v>
      </c>
      <c r="AJ98">
        <v>28</v>
      </c>
    </row>
    <row r="99" spans="1:36" x14ac:dyDescent="0.25">
      <c r="A99" t="s">
        <v>385</v>
      </c>
      <c r="B99">
        <v>97</v>
      </c>
      <c r="C99" t="s">
        <v>53</v>
      </c>
      <c r="D99">
        <v>2</v>
      </c>
      <c r="E99">
        <v>1</v>
      </c>
      <c r="F99">
        <v>2</v>
      </c>
      <c r="G99" t="s">
        <v>112</v>
      </c>
      <c r="H99" t="s">
        <v>55</v>
      </c>
      <c r="I99" t="s">
        <v>114</v>
      </c>
      <c r="K99" t="s">
        <v>38</v>
      </c>
      <c r="L99">
        <v>1</v>
      </c>
      <c r="M99">
        <v>1</v>
      </c>
      <c r="N99">
        <v>2</v>
      </c>
      <c r="O99" t="s">
        <v>39</v>
      </c>
      <c r="P99" t="s">
        <v>40</v>
      </c>
      <c r="Q99" t="s">
        <v>154</v>
      </c>
      <c r="S99" t="s">
        <v>48</v>
      </c>
      <c r="T99">
        <v>1</v>
      </c>
      <c r="V99">
        <v>1</v>
      </c>
      <c r="W99" t="s">
        <v>49</v>
      </c>
      <c r="X99" t="s">
        <v>71</v>
      </c>
      <c r="Y99" t="s">
        <v>127</v>
      </c>
      <c r="Z99" t="s">
        <v>52</v>
      </c>
      <c r="AA99" t="s">
        <v>45</v>
      </c>
      <c r="AB99">
        <v>2</v>
      </c>
      <c r="AD99">
        <v>1</v>
      </c>
      <c r="AE99" t="s">
        <v>140</v>
      </c>
      <c r="AI99">
        <v>0</v>
      </c>
      <c r="AJ99">
        <v>15</v>
      </c>
    </row>
    <row r="100" spans="1:36" x14ac:dyDescent="0.25">
      <c r="A100" t="s">
        <v>386</v>
      </c>
      <c r="B100">
        <v>98</v>
      </c>
      <c r="C100" t="s">
        <v>53</v>
      </c>
      <c r="D100">
        <v>1</v>
      </c>
      <c r="E100">
        <v>1</v>
      </c>
      <c r="F100">
        <v>1</v>
      </c>
      <c r="G100" t="s">
        <v>111</v>
      </c>
      <c r="H100" t="s">
        <v>113</v>
      </c>
      <c r="I100" t="s">
        <v>105</v>
      </c>
      <c r="J100" t="s">
        <v>116</v>
      </c>
      <c r="K100" t="s">
        <v>38</v>
      </c>
      <c r="L100">
        <v>3</v>
      </c>
      <c r="M100">
        <v>1</v>
      </c>
      <c r="N100">
        <v>1</v>
      </c>
      <c r="O100" t="s">
        <v>67</v>
      </c>
      <c r="P100" t="s">
        <v>96</v>
      </c>
      <c r="S100" t="s">
        <v>48</v>
      </c>
      <c r="T100">
        <v>1</v>
      </c>
      <c r="V100">
        <v>1</v>
      </c>
      <c r="W100" t="s">
        <v>49</v>
      </c>
      <c r="X100" t="s">
        <v>71</v>
      </c>
      <c r="Y100" t="s">
        <v>127</v>
      </c>
      <c r="Z100" t="s">
        <v>52</v>
      </c>
      <c r="AA100" t="s">
        <v>63</v>
      </c>
      <c r="AB100">
        <v>1</v>
      </c>
      <c r="AD100">
        <v>1</v>
      </c>
      <c r="AE100" t="s">
        <v>72</v>
      </c>
      <c r="AF100" t="s">
        <v>95</v>
      </c>
      <c r="AI100">
        <v>0</v>
      </c>
      <c r="AJ100">
        <v>15</v>
      </c>
    </row>
    <row r="101" spans="1:36" x14ac:dyDescent="0.25">
      <c r="A101" t="s">
        <v>387</v>
      </c>
      <c r="B101">
        <v>99</v>
      </c>
      <c r="C101" t="s">
        <v>33</v>
      </c>
      <c r="D101">
        <v>1</v>
      </c>
      <c r="F101">
        <v>2</v>
      </c>
      <c r="G101" t="s">
        <v>65</v>
      </c>
      <c r="H101" t="s">
        <v>130</v>
      </c>
      <c r="I101" t="s">
        <v>36</v>
      </c>
      <c r="K101" t="s">
        <v>43</v>
      </c>
      <c r="L101">
        <v>1</v>
      </c>
      <c r="N101">
        <v>1</v>
      </c>
      <c r="O101" t="s">
        <v>73</v>
      </c>
      <c r="P101" t="s">
        <v>136</v>
      </c>
      <c r="Q101" t="s">
        <v>75</v>
      </c>
      <c r="R101" t="s">
        <v>101</v>
      </c>
      <c r="S101" t="s">
        <v>53</v>
      </c>
      <c r="T101">
        <v>1</v>
      </c>
      <c r="U101">
        <v>1</v>
      </c>
      <c r="V101">
        <v>2</v>
      </c>
      <c r="W101" t="s">
        <v>112</v>
      </c>
      <c r="X101" t="s">
        <v>113</v>
      </c>
      <c r="AA101" t="s">
        <v>38</v>
      </c>
      <c r="AB101">
        <v>2</v>
      </c>
      <c r="AC101">
        <v>1</v>
      </c>
      <c r="AD101">
        <v>2</v>
      </c>
      <c r="AE101" t="s">
        <v>67</v>
      </c>
      <c r="AI101">
        <v>0</v>
      </c>
      <c r="AJ101">
        <v>14</v>
      </c>
    </row>
    <row r="102" spans="1:36" x14ac:dyDescent="0.25">
      <c r="A102" t="s">
        <v>388</v>
      </c>
      <c r="B102">
        <v>100</v>
      </c>
      <c r="C102" t="s">
        <v>33</v>
      </c>
      <c r="D102">
        <v>1</v>
      </c>
      <c r="F102">
        <v>1</v>
      </c>
      <c r="G102" t="s">
        <v>65</v>
      </c>
      <c r="H102" t="s">
        <v>130</v>
      </c>
      <c r="I102" t="s">
        <v>36</v>
      </c>
      <c r="K102" t="s">
        <v>45</v>
      </c>
      <c r="L102">
        <v>3</v>
      </c>
      <c r="N102">
        <v>1</v>
      </c>
      <c r="O102" t="s">
        <v>140</v>
      </c>
      <c r="P102" t="s">
        <v>141</v>
      </c>
      <c r="Q102" t="s">
        <v>93</v>
      </c>
      <c r="S102" t="s">
        <v>53</v>
      </c>
      <c r="T102">
        <v>2</v>
      </c>
      <c r="U102">
        <v>3</v>
      </c>
      <c r="V102">
        <v>1</v>
      </c>
      <c r="W102" t="s">
        <v>112</v>
      </c>
      <c r="AA102" t="s">
        <v>38</v>
      </c>
      <c r="AB102">
        <v>1</v>
      </c>
      <c r="AC102">
        <v>1</v>
      </c>
      <c r="AD102">
        <v>2</v>
      </c>
      <c r="AE102" t="s">
        <v>67</v>
      </c>
      <c r="AF102" t="s">
        <v>70</v>
      </c>
      <c r="AI102">
        <v>0</v>
      </c>
      <c r="AJ102">
        <v>16</v>
      </c>
    </row>
    <row r="103" spans="1:36" x14ac:dyDescent="0.25">
      <c r="A103" t="s">
        <v>389</v>
      </c>
      <c r="B103">
        <v>101</v>
      </c>
      <c r="C103" t="s">
        <v>53</v>
      </c>
      <c r="D103">
        <v>2</v>
      </c>
      <c r="E103">
        <v>1</v>
      </c>
      <c r="F103">
        <v>2</v>
      </c>
      <c r="G103" t="s">
        <v>112</v>
      </c>
      <c r="H103" t="s">
        <v>113</v>
      </c>
      <c r="I103" t="s">
        <v>114</v>
      </c>
      <c r="J103" t="s">
        <v>116</v>
      </c>
      <c r="K103" t="s">
        <v>38</v>
      </c>
      <c r="L103">
        <v>3</v>
      </c>
      <c r="M103">
        <v>1</v>
      </c>
      <c r="N103">
        <v>2</v>
      </c>
      <c r="O103" t="s">
        <v>67</v>
      </c>
      <c r="P103" t="s">
        <v>40</v>
      </c>
      <c r="Q103" t="s">
        <v>153</v>
      </c>
      <c r="S103" t="s">
        <v>33</v>
      </c>
      <c r="T103">
        <v>1</v>
      </c>
      <c r="V103">
        <v>3</v>
      </c>
      <c r="W103" t="s">
        <v>65</v>
      </c>
      <c r="X103" t="s">
        <v>66</v>
      </c>
      <c r="Y103" t="s">
        <v>131</v>
      </c>
      <c r="AA103" t="s">
        <v>63</v>
      </c>
      <c r="AB103">
        <v>1</v>
      </c>
      <c r="AD103">
        <v>2</v>
      </c>
      <c r="AE103" t="s">
        <v>145</v>
      </c>
      <c r="AF103" t="s">
        <v>95</v>
      </c>
      <c r="AG103" t="s">
        <v>147</v>
      </c>
      <c r="AH103" t="s">
        <v>150</v>
      </c>
      <c r="AI103">
        <v>0</v>
      </c>
      <c r="AJ103">
        <v>22</v>
      </c>
    </row>
    <row r="104" spans="1:36" x14ac:dyDescent="0.25">
      <c r="A104" t="s">
        <v>390</v>
      </c>
      <c r="B104">
        <v>102</v>
      </c>
      <c r="C104" t="s">
        <v>53</v>
      </c>
      <c r="D104">
        <v>3</v>
      </c>
      <c r="E104">
        <v>3</v>
      </c>
      <c r="F104">
        <v>3</v>
      </c>
      <c r="G104" t="s">
        <v>112</v>
      </c>
      <c r="H104" t="s">
        <v>55</v>
      </c>
      <c r="I104" t="s">
        <v>97</v>
      </c>
      <c r="J104" t="s">
        <v>116</v>
      </c>
      <c r="K104" t="s">
        <v>38</v>
      </c>
      <c r="L104">
        <v>2</v>
      </c>
      <c r="M104">
        <v>1</v>
      </c>
      <c r="N104">
        <v>3</v>
      </c>
      <c r="O104" t="s">
        <v>39</v>
      </c>
      <c r="P104" t="s">
        <v>96</v>
      </c>
      <c r="Q104" t="s">
        <v>153</v>
      </c>
      <c r="S104" t="s">
        <v>43</v>
      </c>
      <c r="T104">
        <v>3</v>
      </c>
      <c r="V104">
        <v>3</v>
      </c>
      <c r="W104" t="s">
        <v>73</v>
      </c>
      <c r="X104" t="s">
        <v>99</v>
      </c>
      <c r="Y104" t="s">
        <v>137</v>
      </c>
      <c r="Z104" t="s">
        <v>139</v>
      </c>
      <c r="AA104" t="s">
        <v>45</v>
      </c>
      <c r="AB104">
        <v>3</v>
      </c>
      <c r="AD104">
        <v>3</v>
      </c>
      <c r="AE104" t="s">
        <v>140</v>
      </c>
      <c r="AF104" t="s">
        <v>141</v>
      </c>
      <c r="AG104" t="s">
        <v>102</v>
      </c>
      <c r="AH104" t="s">
        <v>94</v>
      </c>
      <c r="AI104">
        <v>0</v>
      </c>
      <c r="AJ104">
        <v>48</v>
      </c>
    </row>
    <row r="105" spans="1:36" x14ac:dyDescent="0.25">
      <c r="A105" t="s">
        <v>391</v>
      </c>
      <c r="B105">
        <v>103</v>
      </c>
      <c r="C105" t="s">
        <v>53</v>
      </c>
      <c r="D105">
        <v>3</v>
      </c>
      <c r="E105">
        <v>3</v>
      </c>
      <c r="F105">
        <v>3</v>
      </c>
      <c r="G105" t="s">
        <v>112</v>
      </c>
      <c r="H105" t="s">
        <v>113</v>
      </c>
      <c r="I105" t="s">
        <v>114</v>
      </c>
      <c r="J105" t="s">
        <v>116</v>
      </c>
      <c r="K105" t="s">
        <v>38</v>
      </c>
      <c r="L105">
        <v>3</v>
      </c>
      <c r="M105">
        <v>3</v>
      </c>
      <c r="N105">
        <v>3</v>
      </c>
      <c r="O105" t="s">
        <v>39</v>
      </c>
      <c r="P105" t="s">
        <v>96</v>
      </c>
      <c r="Q105" t="s">
        <v>153</v>
      </c>
      <c r="R105" t="s">
        <v>42</v>
      </c>
      <c r="S105" t="s">
        <v>43</v>
      </c>
      <c r="T105">
        <v>3</v>
      </c>
      <c r="V105">
        <v>3</v>
      </c>
      <c r="W105" t="s">
        <v>44</v>
      </c>
      <c r="X105" t="s">
        <v>99</v>
      </c>
      <c r="Y105" t="s">
        <v>75</v>
      </c>
      <c r="Z105" t="s">
        <v>101</v>
      </c>
      <c r="AA105" t="s">
        <v>63</v>
      </c>
      <c r="AB105">
        <v>1</v>
      </c>
      <c r="AD105">
        <v>1</v>
      </c>
      <c r="AE105" t="s">
        <v>103</v>
      </c>
      <c r="AF105" t="s">
        <v>95</v>
      </c>
      <c r="AG105" t="s">
        <v>147</v>
      </c>
      <c r="AI105">
        <v>0</v>
      </c>
      <c r="AJ105">
        <v>33</v>
      </c>
    </row>
    <row r="106" spans="1:36" x14ac:dyDescent="0.25">
      <c r="A106" t="s">
        <v>392</v>
      </c>
      <c r="B106">
        <v>104</v>
      </c>
      <c r="C106" t="s">
        <v>53</v>
      </c>
      <c r="D106">
        <v>2</v>
      </c>
      <c r="E106">
        <v>1</v>
      </c>
      <c r="F106">
        <v>3</v>
      </c>
      <c r="G106" t="s">
        <v>112</v>
      </c>
      <c r="H106" t="s">
        <v>55</v>
      </c>
      <c r="K106" t="s">
        <v>38</v>
      </c>
      <c r="L106">
        <v>2</v>
      </c>
      <c r="M106">
        <v>1</v>
      </c>
      <c r="N106">
        <v>2</v>
      </c>
      <c r="O106" t="s">
        <v>39</v>
      </c>
      <c r="P106" t="s">
        <v>96</v>
      </c>
      <c r="Q106" t="s">
        <v>154</v>
      </c>
      <c r="R106" t="s">
        <v>155</v>
      </c>
      <c r="S106" t="s">
        <v>45</v>
      </c>
      <c r="T106">
        <v>2</v>
      </c>
      <c r="V106">
        <v>2</v>
      </c>
      <c r="W106" t="s">
        <v>140</v>
      </c>
      <c r="AA106" t="s">
        <v>63</v>
      </c>
      <c r="AB106">
        <v>2</v>
      </c>
      <c r="AD106">
        <v>1</v>
      </c>
      <c r="AE106" t="s">
        <v>103</v>
      </c>
      <c r="AF106" t="s">
        <v>95</v>
      </c>
      <c r="AG106" t="s">
        <v>147</v>
      </c>
      <c r="AH106" t="s">
        <v>150</v>
      </c>
      <c r="AI106">
        <v>0</v>
      </c>
      <c r="AJ106">
        <v>19</v>
      </c>
    </row>
    <row r="107" spans="1:36" x14ac:dyDescent="0.25">
      <c r="A107" t="s">
        <v>393</v>
      </c>
      <c r="B107">
        <v>105</v>
      </c>
      <c r="C107" t="s">
        <v>33</v>
      </c>
      <c r="D107">
        <v>1</v>
      </c>
      <c r="F107">
        <v>2</v>
      </c>
      <c r="G107" t="s">
        <v>65</v>
      </c>
      <c r="H107" t="s">
        <v>130</v>
      </c>
      <c r="I107" t="s">
        <v>36</v>
      </c>
      <c r="J107" t="s">
        <v>134</v>
      </c>
      <c r="K107" t="s">
        <v>43</v>
      </c>
      <c r="L107">
        <v>3</v>
      </c>
      <c r="N107">
        <v>1</v>
      </c>
      <c r="O107" t="s">
        <v>135</v>
      </c>
      <c r="P107" t="s">
        <v>74</v>
      </c>
      <c r="S107" t="s">
        <v>56</v>
      </c>
      <c r="T107">
        <v>3</v>
      </c>
      <c r="V107">
        <v>2</v>
      </c>
      <c r="W107" t="s">
        <v>120</v>
      </c>
      <c r="AA107" t="s">
        <v>48</v>
      </c>
      <c r="AB107">
        <v>1</v>
      </c>
      <c r="AD107">
        <v>1</v>
      </c>
      <c r="AE107" t="s">
        <v>126</v>
      </c>
      <c r="AF107" t="s">
        <v>84</v>
      </c>
      <c r="AI107">
        <v>0</v>
      </c>
      <c r="AJ107">
        <v>16</v>
      </c>
    </row>
    <row r="108" spans="1:36" x14ac:dyDescent="0.25">
      <c r="A108" t="s">
        <v>394</v>
      </c>
      <c r="B108">
        <v>106</v>
      </c>
      <c r="C108" t="s">
        <v>33</v>
      </c>
      <c r="D108">
        <v>1</v>
      </c>
      <c r="F108">
        <v>2</v>
      </c>
      <c r="G108" t="s">
        <v>65</v>
      </c>
      <c r="H108" t="s">
        <v>130</v>
      </c>
      <c r="I108" t="s">
        <v>36</v>
      </c>
      <c r="J108" t="s">
        <v>134</v>
      </c>
      <c r="K108" t="s">
        <v>45</v>
      </c>
      <c r="L108">
        <v>3</v>
      </c>
      <c r="N108">
        <v>1</v>
      </c>
      <c r="O108" t="s">
        <v>86</v>
      </c>
      <c r="P108" t="s">
        <v>141</v>
      </c>
      <c r="S108" t="s">
        <v>56</v>
      </c>
      <c r="T108">
        <v>3</v>
      </c>
      <c r="V108">
        <v>2</v>
      </c>
      <c r="W108" t="s">
        <v>120</v>
      </c>
      <c r="X108" t="s">
        <v>69</v>
      </c>
      <c r="AA108" t="s">
        <v>48</v>
      </c>
      <c r="AB108">
        <v>1</v>
      </c>
      <c r="AD108">
        <v>1</v>
      </c>
      <c r="AE108" t="s">
        <v>126</v>
      </c>
      <c r="AF108" t="s">
        <v>84</v>
      </c>
      <c r="AI108">
        <v>0</v>
      </c>
      <c r="AJ108">
        <v>17</v>
      </c>
    </row>
    <row r="109" spans="1:36" x14ac:dyDescent="0.25">
      <c r="A109" t="s">
        <v>395</v>
      </c>
      <c r="B109">
        <v>107</v>
      </c>
      <c r="C109" t="s">
        <v>33</v>
      </c>
      <c r="D109">
        <v>3</v>
      </c>
      <c r="F109">
        <v>2</v>
      </c>
      <c r="G109" t="s">
        <v>65</v>
      </c>
      <c r="H109" t="s">
        <v>130</v>
      </c>
      <c r="I109" t="s">
        <v>36</v>
      </c>
      <c r="J109" t="s">
        <v>134</v>
      </c>
      <c r="K109" t="s">
        <v>63</v>
      </c>
      <c r="L109">
        <v>2</v>
      </c>
      <c r="N109">
        <v>2</v>
      </c>
      <c r="O109" t="s">
        <v>103</v>
      </c>
      <c r="P109" t="s">
        <v>95</v>
      </c>
      <c r="Q109" t="s">
        <v>148</v>
      </c>
      <c r="R109" t="s">
        <v>151</v>
      </c>
      <c r="S109" t="s">
        <v>56</v>
      </c>
      <c r="T109">
        <v>3</v>
      </c>
      <c r="V109">
        <v>2</v>
      </c>
      <c r="W109" t="s">
        <v>120</v>
      </c>
      <c r="X109" t="s">
        <v>69</v>
      </c>
      <c r="Y109" t="s">
        <v>123</v>
      </c>
      <c r="AA109" t="s">
        <v>48</v>
      </c>
      <c r="AB109">
        <v>1</v>
      </c>
      <c r="AD109">
        <v>1</v>
      </c>
      <c r="AE109" t="s">
        <v>126</v>
      </c>
      <c r="AF109" t="s">
        <v>84</v>
      </c>
      <c r="AI109">
        <v>0</v>
      </c>
      <c r="AJ109">
        <v>21</v>
      </c>
    </row>
    <row r="110" spans="1:36" x14ac:dyDescent="0.25">
      <c r="A110" t="s">
        <v>396</v>
      </c>
      <c r="B110">
        <v>108</v>
      </c>
      <c r="C110" t="s">
        <v>33</v>
      </c>
      <c r="D110">
        <v>3</v>
      </c>
      <c r="F110">
        <v>1</v>
      </c>
      <c r="G110" t="s">
        <v>65</v>
      </c>
      <c r="H110" t="s">
        <v>130</v>
      </c>
      <c r="I110" t="s">
        <v>36</v>
      </c>
      <c r="J110" t="s">
        <v>134</v>
      </c>
      <c r="K110" t="s">
        <v>38</v>
      </c>
      <c r="L110">
        <v>2</v>
      </c>
      <c r="M110">
        <v>1</v>
      </c>
      <c r="N110">
        <v>2</v>
      </c>
      <c r="O110" t="s">
        <v>67</v>
      </c>
      <c r="P110" t="s">
        <v>96</v>
      </c>
      <c r="Q110" t="s">
        <v>41</v>
      </c>
      <c r="R110" t="s">
        <v>156</v>
      </c>
      <c r="S110" t="s">
        <v>56</v>
      </c>
      <c r="T110">
        <v>2</v>
      </c>
      <c r="V110">
        <v>1</v>
      </c>
      <c r="W110" t="s">
        <v>120</v>
      </c>
      <c r="X110" t="s">
        <v>69</v>
      </c>
      <c r="Y110" t="s">
        <v>87</v>
      </c>
      <c r="Z110" t="s">
        <v>124</v>
      </c>
      <c r="AA110" t="s">
        <v>48</v>
      </c>
      <c r="AB110">
        <v>1</v>
      </c>
      <c r="AD110">
        <v>1</v>
      </c>
      <c r="AE110" t="s">
        <v>126</v>
      </c>
      <c r="AF110" t="s">
        <v>84</v>
      </c>
      <c r="AI110">
        <v>0</v>
      </c>
      <c r="AJ110">
        <v>19</v>
      </c>
    </row>
    <row r="111" spans="1:36" x14ac:dyDescent="0.25">
      <c r="A111" s="36" t="s">
        <v>397</v>
      </c>
      <c r="B111">
        <v>109</v>
      </c>
      <c r="C111" t="s">
        <v>56</v>
      </c>
      <c r="D111">
        <v>3</v>
      </c>
      <c r="F111">
        <v>2</v>
      </c>
      <c r="G111" t="s">
        <v>120</v>
      </c>
      <c r="H111" t="s">
        <v>121</v>
      </c>
      <c r="K111" t="s">
        <v>48</v>
      </c>
      <c r="L111">
        <v>1</v>
      </c>
      <c r="N111">
        <v>1</v>
      </c>
      <c r="O111" t="s">
        <v>126</v>
      </c>
      <c r="P111" t="s">
        <v>84</v>
      </c>
      <c r="S111" t="s">
        <v>43</v>
      </c>
      <c r="T111">
        <v>2</v>
      </c>
      <c r="V111">
        <v>1</v>
      </c>
      <c r="W111" t="s">
        <v>44</v>
      </c>
      <c r="X111" t="s">
        <v>99</v>
      </c>
      <c r="Y111" t="s">
        <v>75</v>
      </c>
      <c r="Z111" t="s">
        <v>101</v>
      </c>
      <c r="AA111" t="s">
        <v>45</v>
      </c>
      <c r="AB111">
        <v>3</v>
      </c>
      <c r="AD111">
        <v>2</v>
      </c>
      <c r="AE111" t="s">
        <v>86</v>
      </c>
      <c r="AI111">
        <v>0</v>
      </c>
      <c r="AJ111">
        <v>16</v>
      </c>
    </row>
    <row r="112" spans="1:36" x14ac:dyDescent="0.25">
      <c r="A112" t="s">
        <v>398</v>
      </c>
      <c r="B112">
        <v>110</v>
      </c>
      <c r="C112" t="s">
        <v>43</v>
      </c>
      <c r="D112">
        <v>2</v>
      </c>
      <c r="F112">
        <v>1</v>
      </c>
      <c r="G112" t="s">
        <v>44</v>
      </c>
      <c r="H112" t="s">
        <v>99</v>
      </c>
      <c r="I112" t="s">
        <v>75</v>
      </c>
      <c r="K112" t="s">
        <v>63</v>
      </c>
      <c r="L112">
        <v>1</v>
      </c>
      <c r="N112">
        <v>1</v>
      </c>
      <c r="O112" t="s">
        <v>145</v>
      </c>
      <c r="P112" t="s">
        <v>95</v>
      </c>
      <c r="Q112" t="s">
        <v>147</v>
      </c>
      <c r="S112" t="s">
        <v>56</v>
      </c>
      <c r="T112">
        <v>2</v>
      </c>
      <c r="V112">
        <v>1</v>
      </c>
      <c r="W112" t="s">
        <v>120</v>
      </c>
      <c r="X112" t="s">
        <v>69</v>
      </c>
      <c r="AA112" t="s">
        <v>48</v>
      </c>
      <c r="AB112">
        <v>1</v>
      </c>
      <c r="AD112">
        <v>1</v>
      </c>
      <c r="AE112" t="s">
        <v>89</v>
      </c>
      <c r="AF112" t="s">
        <v>71</v>
      </c>
      <c r="AI112">
        <v>0</v>
      </c>
      <c r="AJ112">
        <v>12</v>
      </c>
    </row>
    <row r="113" spans="1:36" x14ac:dyDescent="0.25">
      <c r="A113" t="s">
        <v>399</v>
      </c>
      <c r="B113">
        <v>111</v>
      </c>
      <c r="C113" t="s">
        <v>56</v>
      </c>
      <c r="D113">
        <v>2</v>
      </c>
      <c r="F113">
        <v>1</v>
      </c>
      <c r="G113" t="s">
        <v>120</v>
      </c>
      <c r="H113" t="s">
        <v>121</v>
      </c>
      <c r="I113" t="s">
        <v>85</v>
      </c>
      <c r="K113" t="s">
        <v>48</v>
      </c>
      <c r="L113">
        <v>1</v>
      </c>
      <c r="N113">
        <v>1</v>
      </c>
      <c r="O113" t="s">
        <v>126</v>
      </c>
      <c r="P113" t="s">
        <v>84</v>
      </c>
      <c r="Q113" t="s">
        <v>90</v>
      </c>
      <c r="R113" t="s">
        <v>128</v>
      </c>
      <c r="S113" t="s">
        <v>43</v>
      </c>
      <c r="T113">
        <v>3</v>
      </c>
      <c r="V113">
        <v>1</v>
      </c>
      <c r="W113" t="s">
        <v>44</v>
      </c>
      <c r="AA113" t="s">
        <v>38</v>
      </c>
      <c r="AB113">
        <v>3</v>
      </c>
      <c r="AC113">
        <v>1</v>
      </c>
      <c r="AD113">
        <v>1</v>
      </c>
      <c r="AE113" t="s">
        <v>67</v>
      </c>
      <c r="AF113" t="s">
        <v>40</v>
      </c>
      <c r="AI113">
        <v>0</v>
      </c>
      <c r="AJ113">
        <v>15</v>
      </c>
    </row>
    <row r="114" spans="1:36" x14ac:dyDescent="0.25">
      <c r="A114" t="s">
        <v>400</v>
      </c>
      <c r="B114">
        <v>112</v>
      </c>
      <c r="C114" t="s">
        <v>56</v>
      </c>
      <c r="D114">
        <v>2</v>
      </c>
      <c r="F114">
        <v>1</v>
      </c>
      <c r="G114" t="s">
        <v>57</v>
      </c>
      <c r="H114" t="s">
        <v>122</v>
      </c>
      <c r="K114" t="s">
        <v>48</v>
      </c>
      <c r="L114">
        <v>1</v>
      </c>
      <c r="N114">
        <v>1</v>
      </c>
      <c r="O114" t="s">
        <v>89</v>
      </c>
      <c r="P114" t="s">
        <v>50</v>
      </c>
      <c r="Q114" t="s">
        <v>127</v>
      </c>
      <c r="S114" t="s">
        <v>45</v>
      </c>
      <c r="T114">
        <v>2</v>
      </c>
      <c r="V114">
        <v>1</v>
      </c>
      <c r="W114" t="s">
        <v>86</v>
      </c>
      <c r="AA114" t="s">
        <v>63</v>
      </c>
      <c r="AB114">
        <v>1</v>
      </c>
      <c r="AD114">
        <v>1</v>
      </c>
      <c r="AE114" t="s">
        <v>145</v>
      </c>
      <c r="AF114" t="s">
        <v>95</v>
      </c>
      <c r="AI114">
        <v>0</v>
      </c>
      <c r="AJ114">
        <v>10</v>
      </c>
    </row>
    <row r="115" spans="1:36" x14ac:dyDescent="0.25">
      <c r="A115" t="s">
        <v>401</v>
      </c>
      <c r="B115">
        <v>113</v>
      </c>
      <c r="C115" t="s">
        <v>56</v>
      </c>
      <c r="D115">
        <v>3</v>
      </c>
      <c r="F115">
        <v>3</v>
      </c>
      <c r="G115" t="s">
        <v>68</v>
      </c>
      <c r="H115" t="s">
        <v>121</v>
      </c>
      <c r="I115" t="s">
        <v>87</v>
      </c>
      <c r="J115" t="s">
        <v>88</v>
      </c>
      <c r="K115" t="s">
        <v>48</v>
      </c>
      <c r="L115">
        <v>1</v>
      </c>
      <c r="N115">
        <v>2</v>
      </c>
      <c r="O115" t="s">
        <v>126</v>
      </c>
      <c r="P115" t="s">
        <v>84</v>
      </c>
      <c r="Q115" t="s">
        <v>90</v>
      </c>
      <c r="R115" t="s">
        <v>129</v>
      </c>
      <c r="S115" t="s">
        <v>45</v>
      </c>
      <c r="T115">
        <v>3</v>
      </c>
      <c r="V115">
        <v>3</v>
      </c>
      <c r="W115" t="s">
        <v>86</v>
      </c>
      <c r="X115" t="s">
        <v>141</v>
      </c>
      <c r="Y115" t="s">
        <v>102</v>
      </c>
      <c r="Z115" t="s">
        <v>143</v>
      </c>
      <c r="AA115" t="s">
        <v>38</v>
      </c>
      <c r="AB115">
        <v>3</v>
      </c>
      <c r="AC115">
        <v>1</v>
      </c>
      <c r="AD115">
        <v>2</v>
      </c>
      <c r="AE115" t="s">
        <v>152</v>
      </c>
      <c r="AF115" t="s">
        <v>96</v>
      </c>
      <c r="AI115">
        <v>0</v>
      </c>
      <c r="AJ115">
        <v>26</v>
      </c>
    </row>
    <row r="116" spans="1:36" x14ac:dyDescent="0.25">
      <c r="A116" t="s">
        <v>402</v>
      </c>
      <c r="B116">
        <v>114</v>
      </c>
      <c r="C116" t="s">
        <v>63</v>
      </c>
      <c r="D116">
        <v>1</v>
      </c>
      <c r="F116">
        <v>1</v>
      </c>
      <c r="G116" t="s">
        <v>145</v>
      </c>
      <c r="H116" t="s">
        <v>95</v>
      </c>
      <c r="I116" t="s">
        <v>104</v>
      </c>
      <c r="K116" t="s">
        <v>38</v>
      </c>
      <c r="L116">
        <v>1</v>
      </c>
      <c r="M116">
        <v>1</v>
      </c>
      <c r="N116">
        <v>1</v>
      </c>
      <c r="O116" t="s">
        <v>39</v>
      </c>
      <c r="P116" t="s">
        <v>40</v>
      </c>
      <c r="Q116" t="s">
        <v>41</v>
      </c>
      <c r="S116" t="s">
        <v>56</v>
      </c>
      <c r="T116">
        <v>2</v>
      </c>
      <c r="V116">
        <v>1</v>
      </c>
      <c r="W116" t="s">
        <v>57</v>
      </c>
      <c r="X116" t="s">
        <v>122</v>
      </c>
      <c r="AA116" t="s">
        <v>48</v>
      </c>
      <c r="AB116">
        <v>2</v>
      </c>
      <c r="AD116">
        <v>1</v>
      </c>
      <c r="AE116" t="s">
        <v>89</v>
      </c>
      <c r="AI116">
        <v>0</v>
      </c>
      <c r="AJ116">
        <v>11</v>
      </c>
    </row>
    <row r="117" spans="1:36" x14ac:dyDescent="0.25">
      <c r="A117" t="s">
        <v>403</v>
      </c>
      <c r="B117">
        <v>115</v>
      </c>
      <c r="C117" t="s">
        <v>56</v>
      </c>
      <c r="D117">
        <v>2</v>
      </c>
      <c r="F117">
        <v>1</v>
      </c>
      <c r="G117" t="s">
        <v>120</v>
      </c>
      <c r="H117" t="s">
        <v>122</v>
      </c>
      <c r="I117" t="s">
        <v>87</v>
      </c>
      <c r="K117" t="s">
        <v>33</v>
      </c>
      <c r="L117">
        <v>1</v>
      </c>
      <c r="N117">
        <v>1</v>
      </c>
      <c r="O117" t="s">
        <v>65</v>
      </c>
      <c r="P117" t="s">
        <v>130</v>
      </c>
      <c r="Q117" t="s">
        <v>36</v>
      </c>
      <c r="S117" t="s">
        <v>48</v>
      </c>
      <c r="T117">
        <v>1</v>
      </c>
      <c r="V117">
        <v>1</v>
      </c>
      <c r="W117" t="s">
        <v>126</v>
      </c>
      <c r="X117" t="s">
        <v>84</v>
      </c>
      <c r="Y117" t="s">
        <v>51</v>
      </c>
      <c r="AA117" t="s">
        <v>43</v>
      </c>
      <c r="AB117">
        <v>3</v>
      </c>
      <c r="AD117">
        <v>1</v>
      </c>
      <c r="AE117" t="s">
        <v>44</v>
      </c>
      <c r="AF117" t="s">
        <v>136</v>
      </c>
      <c r="AI117">
        <v>0</v>
      </c>
      <c r="AJ117">
        <v>14</v>
      </c>
    </row>
    <row r="118" spans="1:36" x14ac:dyDescent="0.25">
      <c r="A118" t="s">
        <v>404</v>
      </c>
      <c r="B118">
        <v>116</v>
      </c>
      <c r="C118" t="s">
        <v>48</v>
      </c>
      <c r="D118">
        <v>1</v>
      </c>
      <c r="F118">
        <v>1</v>
      </c>
      <c r="G118" t="s">
        <v>126</v>
      </c>
      <c r="H118" t="s">
        <v>84</v>
      </c>
      <c r="I118" t="s">
        <v>127</v>
      </c>
      <c r="K118" t="s">
        <v>45</v>
      </c>
      <c r="L118">
        <v>3</v>
      </c>
      <c r="N118">
        <v>1</v>
      </c>
      <c r="O118" t="s">
        <v>140</v>
      </c>
      <c r="P118" t="s">
        <v>92</v>
      </c>
      <c r="Q118" t="s">
        <v>142</v>
      </c>
      <c r="R118" t="s">
        <v>143</v>
      </c>
      <c r="S118" t="s">
        <v>56</v>
      </c>
      <c r="T118">
        <v>2</v>
      </c>
      <c r="V118">
        <v>1</v>
      </c>
      <c r="W118" t="s">
        <v>68</v>
      </c>
      <c r="AA118" t="s">
        <v>33</v>
      </c>
      <c r="AB118">
        <v>1</v>
      </c>
      <c r="AD118">
        <v>3</v>
      </c>
      <c r="AE118" t="s">
        <v>65</v>
      </c>
      <c r="AF118" t="s">
        <v>130</v>
      </c>
      <c r="AG118" t="s">
        <v>36</v>
      </c>
      <c r="AH118" t="s">
        <v>134</v>
      </c>
      <c r="AI118">
        <v>0</v>
      </c>
      <c r="AJ118">
        <v>17</v>
      </c>
    </row>
    <row r="119" spans="1:36" x14ac:dyDescent="0.25">
      <c r="A119" t="s">
        <v>405</v>
      </c>
      <c r="B119">
        <v>117</v>
      </c>
      <c r="C119" t="s">
        <v>56</v>
      </c>
      <c r="D119">
        <v>3</v>
      </c>
      <c r="F119">
        <v>2</v>
      </c>
      <c r="G119" t="s">
        <v>120</v>
      </c>
      <c r="H119" t="s">
        <v>69</v>
      </c>
      <c r="K119" t="s">
        <v>33</v>
      </c>
      <c r="L119">
        <v>2</v>
      </c>
      <c r="N119">
        <v>2</v>
      </c>
      <c r="O119" t="s">
        <v>65</v>
      </c>
      <c r="P119" t="s">
        <v>130</v>
      </c>
      <c r="Q119" t="s">
        <v>36</v>
      </c>
      <c r="R119" t="s">
        <v>134</v>
      </c>
      <c r="S119" t="s">
        <v>48</v>
      </c>
      <c r="T119">
        <v>1</v>
      </c>
      <c r="V119">
        <v>1</v>
      </c>
      <c r="W119" t="s">
        <v>126</v>
      </c>
      <c r="X119" t="s">
        <v>84</v>
      </c>
      <c r="Y119" t="s">
        <v>127</v>
      </c>
      <c r="AA119" t="s">
        <v>63</v>
      </c>
      <c r="AB119">
        <v>3</v>
      </c>
      <c r="AD119">
        <v>1</v>
      </c>
      <c r="AE119" t="s">
        <v>72</v>
      </c>
      <c r="AF119" t="s">
        <v>146</v>
      </c>
      <c r="AG119" t="s">
        <v>104</v>
      </c>
      <c r="AI119">
        <v>0</v>
      </c>
      <c r="AJ119">
        <v>19</v>
      </c>
    </row>
    <row r="120" spans="1:36" x14ac:dyDescent="0.25">
      <c r="A120" t="s">
        <v>406</v>
      </c>
      <c r="B120">
        <v>118</v>
      </c>
      <c r="C120" t="s">
        <v>56</v>
      </c>
      <c r="D120">
        <v>2</v>
      </c>
      <c r="F120">
        <v>1</v>
      </c>
      <c r="G120" t="s">
        <v>57</v>
      </c>
      <c r="H120" t="s">
        <v>121</v>
      </c>
      <c r="K120" t="s">
        <v>33</v>
      </c>
      <c r="L120">
        <v>1</v>
      </c>
      <c r="N120">
        <v>1</v>
      </c>
      <c r="O120" t="s">
        <v>65</v>
      </c>
      <c r="P120" t="s">
        <v>66</v>
      </c>
      <c r="S120" t="s">
        <v>48</v>
      </c>
      <c r="T120">
        <v>2</v>
      </c>
      <c r="V120">
        <v>1</v>
      </c>
      <c r="W120" t="s">
        <v>89</v>
      </c>
      <c r="AA120" t="s">
        <v>38</v>
      </c>
      <c r="AB120">
        <v>1</v>
      </c>
      <c r="AC120">
        <v>1</v>
      </c>
      <c r="AD120">
        <v>2</v>
      </c>
      <c r="AE120" t="s">
        <v>67</v>
      </c>
      <c r="AF120" t="s">
        <v>96</v>
      </c>
      <c r="AG120" t="s">
        <v>154</v>
      </c>
      <c r="AI120">
        <v>0</v>
      </c>
      <c r="AJ120">
        <v>12</v>
      </c>
    </row>
    <row r="121" spans="1:36" x14ac:dyDescent="0.25">
      <c r="A121" t="s">
        <v>407</v>
      </c>
      <c r="B121">
        <v>119</v>
      </c>
      <c r="C121" t="s">
        <v>56</v>
      </c>
      <c r="D121">
        <v>2</v>
      </c>
      <c r="F121">
        <v>2</v>
      </c>
      <c r="G121" t="s">
        <v>68</v>
      </c>
      <c r="H121" t="s">
        <v>121</v>
      </c>
      <c r="K121" t="s">
        <v>33</v>
      </c>
      <c r="L121">
        <v>1</v>
      </c>
      <c r="N121">
        <v>3</v>
      </c>
      <c r="O121" t="s">
        <v>65</v>
      </c>
      <c r="S121" t="s">
        <v>43</v>
      </c>
      <c r="T121">
        <v>2</v>
      </c>
      <c r="V121">
        <v>1</v>
      </c>
      <c r="W121" t="s">
        <v>44</v>
      </c>
      <c r="X121" t="s">
        <v>99</v>
      </c>
      <c r="AA121" t="s">
        <v>45</v>
      </c>
      <c r="AB121">
        <v>3</v>
      </c>
      <c r="AD121">
        <v>1</v>
      </c>
      <c r="AE121" t="s">
        <v>140</v>
      </c>
      <c r="AF121" t="s">
        <v>76</v>
      </c>
      <c r="AI121">
        <v>0</v>
      </c>
      <c r="AJ121">
        <v>14</v>
      </c>
    </row>
    <row r="122" spans="1:36" x14ac:dyDescent="0.25">
      <c r="A122" t="s">
        <v>408</v>
      </c>
      <c r="B122">
        <v>120</v>
      </c>
      <c r="C122" t="s">
        <v>56</v>
      </c>
      <c r="D122">
        <v>2</v>
      </c>
      <c r="F122">
        <v>1</v>
      </c>
      <c r="G122" t="s">
        <v>57</v>
      </c>
      <c r="H122" t="s">
        <v>122</v>
      </c>
      <c r="I122" t="s">
        <v>123</v>
      </c>
      <c r="K122" t="s">
        <v>33</v>
      </c>
      <c r="L122">
        <v>3</v>
      </c>
      <c r="N122">
        <v>1</v>
      </c>
      <c r="O122" t="s">
        <v>65</v>
      </c>
      <c r="P122" t="s">
        <v>66</v>
      </c>
      <c r="Q122" t="s">
        <v>36</v>
      </c>
      <c r="R122" t="s">
        <v>134</v>
      </c>
      <c r="S122" t="s">
        <v>43</v>
      </c>
      <c r="T122">
        <v>2</v>
      </c>
      <c r="V122">
        <v>1</v>
      </c>
      <c r="W122" t="s">
        <v>44</v>
      </c>
      <c r="X122" t="s">
        <v>136</v>
      </c>
      <c r="AA122" t="s">
        <v>63</v>
      </c>
      <c r="AB122">
        <v>3</v>
      </c>
      <c r="AD122">
        <v>1</v>
      </c>
      <c r="AE122" t="s">
        <v>145</v>
      </c>
      <c r="AF122" t="s">
        <v>146</v>
      </c>
      <c r="AG122" t="s">
        <v>104</v>
      </c>
      <c r="AH122" t="s">
        <v>149</v>
      </c>
      <c r="AI122">
        <v>0</v>
      </c>
      <c r="AJ122">
        <v>20</v>
      </c>
    </row>
    <row r="123" spans="1:36" x14ac:dyDescent="0.25">
      <c r="A123" t="s">
        <v>409</v>
      </c>
      <c r="B123">
        <v>121</v>
      </c>
      <c r="C123" t="s">
        <v>43</v>
      </c>
      <c r="D123">
        <v>2</v>
      </c>
      <c r="F123">
        <v>1</v>
      </c>
      <c r="G123" t="s">
        <v>44</v>
      </c>
      <c r="H123" t="s">
        <v>136</v>
      </c>
      <c r="I123" t="s">
        <v>75</v>
      </c>
      <c r="K123" t="s">
        <v>38</v>
      </c>
      <c r="L123">
        <v>1</v>
      </c>
      <c r="M123">
        <v>1</v>
      </c>
      <c r="N123">
        <v>2</v>
      </c>
      <c r="O123" t="s">
        <v>67</v>
      </c>
      <c r="P123" t="s">
        <v>96</v>
      </c>
      <c r="S123" t="s">
        <v>56</v>
      </c>
      <c r="T123">
        <v>2</v>
      </c>
      <c r="V123">
        <v>1</v>
      </c>
      <c r="W123" t="s">
        <v>120</v>
      </c>
      <c r="X123" t="s">
        <v>121</v>
      </c>
      <c r="AA123" t="s">
        <v>33</v>
      </c>
      <c r="AB123">
        <v>1</v>
      </c>
      <c r="AD123">
        <v>2</v>
      </c>
      <c r="AE123" t="s">
        <v>65</v>
      </c>
      <c r="AI123">
        <v>0</v>
      </c>
      <c r="AJ123">
        <v>12</v>
      </c>
    </row>
    <row r="124" spans="1:36" x14ac:dyDescent="0.25">
      <c r="A124" t="s">
        <v>410</v>
      </c>
      <c r="B124">
        <v>122</v>
      </c>
      <c r="C124" t="s">
        <v>45</v>
      </c>
      <c r="D124">
        <v>3</v>
      </c>
      <c r="F124">
        <v>1</v>
      </c>
      <c r="G124" t="s">
        <v>140</v>
      </c>
      <c r="H124" t="s">
        <v>76</v>
      </c>
      <c r="K124" t="s">
        <v>63</v>
      </c>
      <c r="L124">
        <v>2</v>
      </c>
      <c r="N124">
        <v>1</v>
      </c>
      <c r="O124" t="s">
        <v>145</v>
      </c>
      <c r="P124" t="s">
        <v>146</v>
      </c>
      <c r="S124" t="s">
        <v>56</v>
      </c>
      <c r="T124">
        <v>3</v>
      </c>
      <c r="V124">
        <v>1</v>
      </c>
      <c r="W124" t="s">
        <v>57</v>
      </c>
      <c r="X124" t="s">
        <v>69</v>
      </c>
      <c r="AA124" t="s">
        <v>33</v>
      </c>
      <c r="AB124">
        <v>2</v>
      </c>
      <c r="AD124">
        <v>2</v>
      </c>
      <c r="AE124" t="s">
        <v>65</v>
      </c>
      <c r="AI124">
        <v>0</v>
      </c>
      <c r="AJ124">
        <v>15</v>
      </c>
    </row>
    <row r="125" spans="1:36" x14ac:dyDescent="0.25">
      <c r="A125" t="s">
        <v>411</v>
      </c>
      <c r="B125">
        <v>123</v>
      </c>
      <c r="C125" t="s">
        <v>56</v>
      </c>
      <c r="D125">
        <v>2</v>
      </c>
      <c r="F125">
        <v>1</v>
      </c>
      <c r="G125" t="s">
        <v>57</v>
      </c>
      <c r="H125" t="s">
        <v>121</v>
      </c>
      <c r="K125" t="s">
        <v>33</v>
      </c>
      <c r="L125">
        <v>1</v>
      </c>
      <c r="N125">
        <v>2</v>
      </c>
      <c r="O125" t="s">
        <v>65</v>
      </c>
      <c r="S125" t="s">
        <v>45</v>
      </c>
      <c r="T125">
        <v>2</v>
      </c>
      <c r="V125">
        <v>1</v>
      </c>
      <c r="W125" t="s">
        <v>140</v>
      </c>
      <c r="AA125" t="s">
        <v>38</v>
      </c>
      <c r="AB125">
        <v>2</v>
      </c>
      <c r="AC125">
        <v>1</v>
      </c>
      <c r="AD125">
        <v>2</v>
      </c>
      <c r="AE125" t="s">
        <v>67</v>
      </c>
      <c r="AF125" t="s">
        <v>96</v>
      </c>
      <c r="AI125">
        <v>0</v>
      </c>
      <c r="AJ125">
        <v>12</v>
      </c>
    </row>
    <row r="126" spans="1:36" x14ac:dyDescent="0.25">
      <c r="A126" t="s">
        <v>412</v>
      </c>
      <c r="B126">
        <v>124</v>
      </c>
      <c r="C126" t="s">
        <v>56</v>
      </c>
      <c r="D126">
        <v>3</v>
      </c>
      <c r="F126">
        <v>1</v>
      </c>
      <c r="G126" t="s">
        <v>57</v>
      </c>
      <c r="H126" t="s">
        <v>121</v>
      </c>
      <c r="K126" t="s">
        <v>33</v>
      </c>
      <c r="L126">
        <v>1</v>
      </c>
      <c r="N126">
        <v>2</v>
      </c>
      <c r="O126" t="s">
        <v>65</v>
      </c>
      <c r="S126" t="s">
        <v>63</v>
      </c>
      <c r="T126">
        <v>1</v>
      </c>
      <c r="V126">
        <v>1</v>
      </c>
      <c r="W126" t="s">
        <v>72</v>
      </c>
      <c r="X126" t="s">
        <v>146</v>
      </c>
      <c r="AA126" t="s">
        <v>38</v>
      </c>
      <c r="AB126">
        <v>1</v>
      </c>
      <c r="AC126">
        <v>2</v>
      </c>
      <c r="AD126">
        <v>2</v>
      </c>
      <c r="AE126" t="s">
        <v>67</v>
      </c>
      <c r="AF126" t="s">
        <v>96</v>
      </c>
      <c r="AI126">
        <v>0</v>
      </c>
      <c r="AJ126">
        <v>12</v>
      </c>
    </row>
    <row r="127" spans="1:36" x14ac:dyDescent="0.25">
      <c r="A127" t="s">
        <v>413</v>
      </c>
      <c r="B127">
        <v>125</v>
      </c>
      <c r="C127" t="s">
        <v>56</v>
      </c>
      <c r="D127">
        <v>3</v>
      </c>
      <c r="F127">
        <v>1</v>
      </c>
      <c r="G127" t="s">
        <v>120</v>
      </c>
      <c r="K127" t="s">
        <v>43</v>
      </c>
      <c r="L127">
        <v>3</v>
      </c>
      <c r="N127">
        <v>2</v>
      </c>
      <c r="O127" t="s">
        <v>44</v>
      </c>
      <c r="P127" t="s">
        <v>99</v>
      </c>
      <c r="S127" t="s">
        <v>48</v>
      </c>
      <c r="T127">
        <v>1</v>
      </c>
      <c r="V127">
        <v>1</v>
      </c>
      <c r="W127" t="s">
        <v>126</v>
      </c>
      <c r="X127" t="s">
        <v>50</v>
      </c>
      <c r="AA127" t="s">
        <v>33</v>
      </c>
      <c r="AB127">
        <v>2</v>
      </c>
      <c r="AD127">
        <v>3</v>
      </c>
      <c r="AE127" t="s">
        <v>65</v>
      </c>
      <c r="AF127" t="s">
        <v>35</v>
      </c>
      <c r="AI127">
        <v>0</v>
      </c>
      <c r="AJ127">
        <v>15</v>
      </c>
    </row>
    <row r="128" spans="1:36" x14ac:dyDescent="0.25">
      <c r="A128" t="s">
        <v>414</v>
      </c>
      <c r="B128">
        <v>126</v>
      </c>
      <c r="C128" t="s">
        <v>56</v>
      </c>
      <c r="D128">
        <v>2</v>
      </c>
      <c r="F128">
        <v>1</v>
      </c>
      <c r="G128" t="s">
        <v>120</v>
      </c>
      <c r="H128" t="s">
        <v>121</v>
      </c>
      <c r="I128" t="s">
        <v>87</v>
      </c>
      <c r="K128" t="s">
        <v>43</v>
      </c>
      <c r="L128">
        <v>2</v>
      </c>
      <c r="N128">
        <v>1</v>
      </c>
      <c r="O128" t="s">
        <v>44</v>
      </c>
      <c r="P128" t="s">
        <v>136</v>
      </c>
      <c r="Q128" t="s">
        <v>137</v>
      </c>
      <c r="S128" t="s">
        <v>48</v>
      </c>
      <c r="T128">
        <v>1</v>
      </c>
      <c r="V128">
        <v>1</v>
      </c>
      <c r="W128" t="s">
        <v>126</v>
      </c>
      <c r="X128" t="s">
        <v>84</v>
      </c>
      <c r="Y128" t="s">
        <v>127</v>
      </c>
      <c r="AA128" t="s">
        <v>45</v>
      </c>
      <c r="AB128">
        <v>3</v>
      </c>
      <c r="AD128">
        <v>1</v>
      </c>
      <c r="AE128" t="s">
        <v>140</v>
      </c>
      <c r="AI128">
        <v>0</v>
      </c>
      <c r="AJ128">
        <v>16</v>
      </c>
    </row>
    <row r="129" spans="1:36" x14ac:dyDescent="0.25">
      <c r="A129" t="s">
        <v>415</v>
      </c>
      <c r="B129">
        <v>127</v>
      </c>
      <c r="C129" t="s">
        <v>56</v>
      </c>
      <c r="D129">
        <v>3</v>
      </c>
      <c r="F129">
        <v>1</v>
      </c>
      <c r="G129" t="s">
        <v>57</v>
      </c>
      <c r="H129" t="s">
        <v>122</v>
      </c>
      <c r="I129" t="s">
        <v>87</v>
      </c>
      <c r="J129" t="s">
        <v>124</v>
      </c>
      <c r="K129" t="s">
        <v>43</v>
      </c>
      <c r="L129">
        <v>3</v>
      </c>
      <c r="N129">
        <v>1</v>
      </c>
      <c r="O129" t="s">
        <v>44</v>
      </c>
      <c r="P129" t="s">
        <v>136</v>
      </c>
      <c r="Q129" t="s">
        <v>75</v>
      </c>
      <c r="R129" t="s">
        <v>138</v>
      </c>
      <c r="S129" t="s">
        <v>48</v>
      </c>
      <c r="T129">
        <v>1</v>
      </c>
      <c r="V129">
        <v>2</v>
      </c>
      <c r="W129" t="s">
        <v>126</v>
      </c>
      <c r="X129" t="s">
        <v>84</v>
      </c>
      <c r="Y129" t="s">
        <v>127</v>
      </c>
      <c r="AA129" t="s">
        <v>63</v>
      </c>
      <c r="AB129">
        <v>2</v>
      </c>
      <c r="AD129">
        <v>2</v>
      </c>
      <c r="AE129" t="s">
        <v>72</v>
      </c>
      <c r="AF129" t="s">
        <v>146</v>
      </c>
      <c r="AG129" t="s">
        <v>104</v>
      </c>
      <c r="AH129" t="s">
        <v>151</v>
      </c>
      <c r="AI129">
        <v>0</v>
      </c>
      <c r="AJ129">
        <v>23</v>
      </c>
    </row>
    <row r="130" spans="1:36" x14ac:dyDescent="0.25">
      <c r="A130" t="s">
        <v>416</v>
      </c>
      <c r="B130">
        <v>128</v>
      </c>
      <c r="C130" t="s">
        <v>56</v>
      </c>
      <c r="D130">
        <v>3</v>
      </c>
      <c r="F130">
        <v>1</v>
      </c>
      <c r="G130" t="s">
        <v>120</v>
      </c>
      <c r="H130" t="s">
        <v>122</v>
      </c>
      <c r="K130" t="s">
        <v>43</v>
      </c>
      <c r="L130">
        <v>3</v>
      </c>
      <c r="N130">
        <v>1</v>
      </c>
      <c r="O130" t="s">
        <v>44</v>
      </c>
      <c r="P130" t="s">
        <v>136</v>
      </c>
      <c r="Q130" t="s">
        <v>137</v>
      </c>
      <c r="S130" t="s">
        <v>48</v>
      </c>
      <c r="T130">
        <v>1</v>
      </c>
      <c r="V130">
        <v>1</v>
      </c>
      <c r="W130" t="s">
        <v>126</v>
      </c>
      <c r="X130" t="s">
        <v>71</v>
      </c>
      <c r="Y130" t="s">
        <v>90</v>
      </c>
      <c r="Z130" t="s">
        <v>128</v>
      </c>
      <c r="AA130" t="s">
        <v>38</v>
      </c>
      <c r="AB130">
        <v>1</v>
      </c>
      <c r="AC130">
        <v>1</v>
      </c>
      <c r="AD130">
        <v>2</v>
      </c>
      <c r="AE130" t="s">
        <v>39</v>
      </c>
      <c r="AF130" t="s">
        <v>96</v>
      </c>
      <c r="AI130">
        <v>0</v>
      </c>
      <c r="AJ130">
        <v>18</v>
      </c>
    </row>
    <row r="131" spans="1:36" x14ac:dyDescent="0.25">
      <c r="A131" t="s">
        <v>417</v>
      </c>
      <c r="B131">
        <v>129</v>
      </c>
      <c r="C131" t="s">
        <v>33</v>
      </c>
      <c r="D131">
        <v>2</v>
      </c>
      <c r="F131">
        <v>2</v>
      </c>
      <c r="G131" t="s">
        <v>65</v>
      </c>
      <c r="H131" t="s">
        <v>130</v>
      </c>
      <c r="K131" t="s">
        <v>45</v>
      </c>
      <c r="L131">
        <v>3</v>
      </c>
      <c r="N131">
        <v>2</v>
      </c>
      <c r="O131" t="s">
        <v>140</v>
      </c>
      <c r="S131" t="s">
        <v>56</v>
      </c>
      <c r="T131">
        <v>2</v>
      </c>
      <c r="V131">
        <v>1</v>
      </c>
      <c r="W131" t="s">
        <v>120</v>
      </c>
      <c r="X131" t="s">
        <v>121</v>
      </c>
      <c r="Y131" t="s">
        <v>87</v>
      </c>
      <c r="AA131" t="s">
        <v>43</v>
      </c>
      <c r="AB131">
        <v>1</v>
      </c>
      <c r="AD131">
        <v>1</v>
      </c>
      <c r="AE131" t="s">
        <v>44</v>
      </c>
      <c r="AF131" t="s">
        <v>136</v>
      </c>
      <c r="AI131">
        <v>0</v>
      </c>
      <c r="AJ131">
        <v>15</v>
      </c>
    </row>
    <row r="132" spans="1:36" x14ac:dyDescent="0.25">
      <c r="A132" t="s">
        <v>418</v>
      </c>
      <c r="B132">
        <v>130</v>
      </c>
      <c r="C132" t="s">
        <v>56</v>
      </c>
      <c r="D132">
        <v>3</v>
      </c>
      <c r="F132">
        <v>1</v>
      </c>
      <c r="G132" t="s">
        <v>57</v>
      </c>
      <c r="K132" t="s">
        <v>43</v>
      </c>
      <c r="L132">
        <v>3</v>
      </c>
      <c r="N132">
        <v>1</v>
      </c>
      <c r="O132" t="s">
        <v>44</v>
      </c>
      <c r="P132" t="s">
        <v>136</v>
      </c>
      <c r="S132" t="s">
        <v>33</v>
      </c>
      <c r="T132">
        <v>2</v>
      </c>
      <c r="V132">
        <v>2</v>
      </c>
      <c r="W132" t="s">
        <v>65</v>
      </c>
      <c r="AA132" t="s">
        <v>63</v>
      </c>
      <c r="AB132">
        <v>2</v>
      </c>
      <c r="AD132">
        <v>1</v>
      </c>
      <c r="AE132" t="s">
        <v>103</v>
      </c>
      <c r="AF132" t="s">
        <v>146</v>
      </c>
      <c r="AI132">
        <v>0</v>
      </c>
      <c r="AJ132">
        <v>14</v>
      </c>
    </row>
    <row r="133" spans="1:36" x14ac:dyDescent="0.25">
      <c r="A133" t="s">
        <v>419</v>
      </c>
      <c r="B133">
        <v>131</v>
      </c>
      <c r="C133" t="s">
        <v>33</v>
      </c>
      <c r="D133">
        <v>2</v>
      </c>
      <c r="F133">
        <v>2</v>
      </c>
      <c r="G133" t="s">
        <v>65</v>
      </c>
      <c r="K133" t="s">
        <v>38</v>
      </c>
      <c r="L133">
        <v>3</v>
      </c>
      <c r="M133">
        <v>1</v>
      </c>
      <c r="N133">
        <v>2</v>
      </c>
      <c r="O133" t="s">
        <v>39</v>
      </c>
      <c r="P133" t="s">
        <v>40</v>
      </c>
      <c r="S133" t="s">
        <v>56</v>
      </c>
      <c r="T133">
        <v>2</v>
      </c>
      <c r="V133">
        <v>1</v>
      </c>
      <c r="W133" t="s">
        <v>57</v>
      </c>
      <c r="AA133" t="s">
        <v>43</v>
      </c>
      <c r="AB133">
        <v>2</v>
      </c>
      <c r="AD133">
        <v>1</v>
      </c>
      <c r="AE133" t="s">
        <v>44</v>
      </c>
      <c r="AF133" t="s">
        <v>136</v>
      </c>
      <c r="AG133" t="s">
        <v>75</v>
      </c>
      <c r="AI133">
        <v>0</v>
      </c>
      <c r="AJ133">
        <v>14</v>
      </c>
    </row>
    <row r="134" spans="1:36" x14ac:dyDescent="0.25">
      <c r="A134" t="s">
        <v>420</v>
      </c>
      <c r="B134">
        <v>132</v>
      </c>
      <c r="C134" t="s">
        <v>45</v>
      </c>
      <c r="D134">
        <v>3</v>
      </c>
      <c r="F134">
        <v>1</v>
      </c>
      <c r="G134" t="s">
        <v>140</v>
      </c>
      <c r="H134" t="s">
        <v>76</v>
      </c>
      <c r="K134" t="s">
        <v>63</v>
      </c>
      <c r="L134">
        <v>1</v>
      </c>
      <c r="N134">
        <v>1</v>
      </c>
      <c r="O134" t="s">
        <v>103</v>
      </c>
      <c r="P134" t="s">
        <v>146</v>
      </c>
      <c r="Q134" t="s">
        <v>104</v>
      </c>
      <c r="S134" t="s">
        <v>56</v>
      </c>
      <c r="T134">
        <v>2</v>
      </c>
      <c r="V134">
        <v>1</v>
      </c>
      <c r="W134" t="s">
        <v>57</v>
      </c>
      <c r="X134" t="s">
        <v>122</v>
      </c>
      <c r="AA134" t="s">
        <v>43</v>
      </c>
      <c r="AB134">
        <v>2</v>
      </c>
      <c r="AD134">
        <v>1</v>
      </c>
      <c r="AE134" t="s">
        <v>44</v>
      </c>
      <c r="AF134" t="s">
        <v>136</v>
      </c>
      <c r="AI134">
        <v>0</v>
      </c>
      <c r="AJ134">
        <v>15</v>
      </c>
    </row>
    <row r="135" spans="1:36" x14ac:dyDescent="0.25">
      <c r="A135" s="36" t="s">
        <v>421</v>
      </c>
      <c r="B135">
        <v>133</v>
      </c>
      <c r="C135" t="s">
        <v>45</v>
      </c>
      <c r="D135">
        <v>3</v>
      </c>
      <c r="F135">
        <v>1</v>
      </c>
      <c r="G135" t="s">
        <v>140</v>
      </c>
      <c r="K135" t="s">
        <v>38</v>
      </c>
      <c r="L135">
        <v>1</v>
      </c>
      <c r="M135">
        <v>1</v>
      </c>
      <c r="N135">
        <v>1</v>
      </c>
      <c r="O135" t="s">
        <v>39</v>
      </c>
      <c r="P135" t="s">
        <v>96</v>
      </c>
      <c r="Q135" t="s">
        <v>154</v>
      </c>
      <c r="R135" t="s">
        <v>156</v>
      </c>
      <c r="S135" t="s">
        <v>56</v>
      </c>
      <c r="T135">
        <v>2</v>
      </c>
      <c r="V135">
        <v>1</v>
      </c>
      <c r="W135" t="s">
        <v>57</v>
      </c>
      <c r="X135" t="s">
        <v>121</v>
      </c>
      <c r="AA135" t="s">
        <v>43</v>
      </c>
      <c r="AB135">
        <v>1</v>
      </c>
      <c r="AD135">
        <v>1</v>
      </c>
      <c r="AE135" t="s">
        <v>44</v>
      </c>
      <c r="AI135">
        <v>0</v>
      </c>
      <c r="AJ135">
        <v>12</v>
      </c>
    </row>
    <row r="136" spans="1:36" x14ac:dyDescent="0.25">
      <c r="A136" t="s">
        <v>422</v>
      </c>
      <c r="B136">
        <v>134</v>
      </c>
      <c r="C136" t="s">
        <v>56</v>
      </c>
      <c r="D136">
        <v>2</v>
      </c>
      <c r="F136">
        <v>1</v>
      </c>
      <c r="G136" t="s">
        <v>57</v>
      </c>
      <c r="H136" t="s">
        <v>122</v>
      </c>
      <c r="I136" t="s">
        <v>87</v>
      </c>
      <c r="K136" t="s">
        <v>43</v>
      </c>
      <c r="L136">
        <v>3</v>
      </c>
      <c r="N136">
        <v>1</v>
      </c>
      <c r="O136" t="s">
        <v>44</v>
      </c>
      <c r="P136" t="s">
        <v>136</v>
      </c>
      <c r="Q136" t="s">
        <v>75</v>
      </c>
      <c r="S136" t="s">
        <v>63</v>
      </c>
      <c r="T136">
        <v>2</v>
      </c>
      <c r="V136">
        <v>1</v>
      </c>
      <c r="W136" t="s">
        <v>103</v>
      </c>
      <c r="X136" t="s">
        <v>146</v>
      </c>
      <c r="Y136" t="s">
        <v>104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96</v>
      </c>
      <c r="AI136">
        <v>0</v>
      </c>
      <c r="AJ136">
        <v>16</v>
      </c>
    </row>
    <row r="137" spans="1:36" x14ac:dyDescent="0.25">
      <c r="A137" t="s">
        <v>423</v>
      </c>
      <c r="B137">
        <v>135</v>
      </c>
      <c r="C137" t="s">
        <v>48</v>
      </c>
      <c r="D137">
        <v>2</v>
      </c>
      <c r="F137">
        <v>1</v>
      </c>
      <c r="G137" t="s">
        <v>126</v>
      </c>
      <c r="H137" t="s">
        <v>84</v>
      </c>
      <c r="I137" t="s">
        <v>127</v>
      </c>
      <c r="J137" t="s">
        <v>129</v>
      </c>
      <c r="K137" t="s">
        <v>33</v>
      </c>
      <c r="L137">
        <v>3</v>
      </c>
      <c r="N137">
        <v>3</v>
      </c>
      <c r="O137" t="s">
        <v>65</v>
      </c>
      <c r="P137" t="s">
        <v>130</v>
      </c>
      <c r="S137" t="s">
        <v>56</v>
      </c>
      <c r="T137">
        <v>3</v>
      </c>
      <c r="V137">
        <v>1</v>
      </c>
      <c r="W137" t="s">
        <v>120</v>
      </c>
      <c r="X137" t="s">
        <v>121</v>
      </c>
      <c r="Y137" t="s">
        <v>123</v>
      </c>
      <c r="AA137" t="s">
        <v>45</v>
      </c>
      <c r="AB137">
        <v>3</v>
      </c>
      <c r="AD137">
        <v>1</v>
      </c>
      <c r="AE137" t="s">
        <v>86</v>
      </c>
      <c r="AI137">
        <v>0</v>
      </c>
      <c r="AJ137">
        <v>19</v>
      </c>
    </row>
    <row r="138" spans="1:36" x14ac:dyDescent="0.25">
      <c r="A138" t="s">
        <v>424</v>
      </c>
      <c r="B138">
        <v>136</v>
      </c>
      <c r="C138" t="s">
        <v>56</v>
      </c>
      <c r="D138">
        <v>2</v>
      </c>
      <c r="F138">
        <v>1</v>
      </c>
      <c r="G138" t="s">
        <v>120</v>
      </c>
      <c r="H138" t="s">
        <v>121</v>
      </c>
      <c r="I138" t="s">
        <v>87</v>
      </c>
      <c r="K138" t="s">
        <v>45</v>
      </c>
      <c r="L138">
        <v>3</v>
      </c>
      <c r="N138">
        <v>2</v>
      </c>
      <c r="O138" t="s">
        <v>86</v>
      </c>
      <c r="P138" t="s">
        <v>92</v>
      </c>
      <c r="S138" t="s">
        <v>48</v>
      </c>
      <c r="T138">
        <v>1</v>
      </c>
      <c r="V138">
        <v>1</v>
      </c>
      <c r="W138" t="s">
        <v>126</v>
      </c>
      <c r="X138" t="s">
        <v>84</v>
      </c>
      <c r="Y138" t="s">
        <v>90</v>
      </c>
      <c r="AA138" t="s">
        <v>43</v>
      </c>
      <c r="AB138">
        <v>2</v>
      </c>
      <c r="AD138">
        <v>1</v>
      </c>
      <c r="AE138" t="s">
        <v>73</v>
      </c>
      <c r="AF138" t="s">
        <v>74</v>
      </c>
      <c r="AG138" t="s">
        <v>100</v>
      </c>
      <c r="AH138" t="s">
        <v>101</v>
      </c>
      <c r="AI138">
        <v>0</v>
      </c>
      <c r="AJ138">
        <v>18</v>
      </c>
    </row>
    <row r="139" spans="1:36" x14ac:dyDescent="0.25">
      <c r="A139" t="s">
        <v>425</v>
      </c>
      <c r="B139">
        <v>137</v>
      </c>
      <c r="C139" t="s">
        <v>48</v>
      </c>
      <c r="D139">
        <v>1</v>
      </c>
      <c r="F139">
        <v>3</v>
      </c>
      <c r="G139" t="s">
        <v>126</v>
      </c>
      <c r="H139" t="s">
        <v>71</v>
      </c>
      <c r="I139" t="s">
        <v>90</v>
      </c>
      <c r="J139" t="s">
        <v>128</v>
      </c>
      <c r="K139" t="s">
        <v>63</v>
      </c>
      <c r="L139">
        <v>3</v>
      </c>
      <c r="N139">
        <v>1</v>
      </c>
      <c r="O139" t="s">
        <v>103</v>
      </c>
      <c r="P139" t="s">
        <v>146</v>
      </c>
      <c r="Q139" t="s">
        <v>147</v>
      </c>
      <c r="R139" t="s">
        <v>150</v>
      </c>
      <c r="S139" t="s">
        <v>56</v>
      </c>
      <c r="T139">
        <v>3</v>
      </c>
      <c r="V139">
        <v>1</v>
      </c>
      <c r="W139" t="s">
        <v>57</v>
      </c>
      <c r="X139" t="s">
        <v>121</v>
      </c>
      <c r="Y139" t="s">
        <v>123</v>
      </c>
      <c r="Z139" t="s">
        <v>124</v>
      </c>
      <c r="AA139" t="s">
        <v>45</v>
      </c>
      <c r="AB139">
        <v>3</v>
      </c>
      <c r="AD139">
        <v>1</v>
      </c>
      <c r="AE139" t="s">
        <v>86</v>
      </c>
      <c r="AF139" t="s">
        <v>141</v>
      </c>
      <c r="AG139" t="s">
        <v>142</v>
      </c>
      <c r="AH139" t="s">
        <v>143</v>
      </c>
      <c r="AI139">
        <v>0</v>
      </c>
      <c r="AJ139">
        <v>26</v>
      </c>
    </row>
    <row r="140" spans="1:36" x14ac:dyDescent="0.25">
      <c r="A140" t="s">
        <v>426</v>
      </c>
      <c r="B140">
        <v>138</v>
      </c>
      <c r="C140" t="s">
        <v>48</v>
      </c>
      <c r="D140">
        <v>1</v>
      </c>
      <c r="F140">
        <v>1</v>
      </c>
      <c r="G140" t="s">
        <v>126</v>
      </c>
      <c r="H140" t="s">
        <v>84</v>
      </c>
      <c r="I140" t="s">
        <v>127</v>
      </c>
      <c r="J140" t="s">
        <v>129</v>
      </c>
      <c r="K140" t="s">
        <v>38</v>
      </c>
      <c r="L140">
        <v>3</v>
      </c>
      <c r="M140">
        <v>2</v>
      </c>
      <c r="N140">
        <v>3</v>
      </c>
      <c r="O140" t="s">
        <v>39</v>
      </c>
      <c r="P140" t="s">
        <v>96</v>
      </c>
      <c r="Q140" t="s">
        <v>154</v>
      </c>
      <c r="R140" t="s">
        <v>156</v>
      </c>
      <c r="S140" t="s">
        <v>56</v>
      </c>
      <c r="T140">
        <v>3</v>
      </c>
      <c r="V140">
        <v>3</v>
      </c>
      <c r="W140" t="s">
        <v>57</v>
      </c>
      <c r="X140" t="s">
        <v>121</v>
      </c>
      <c r="Y140" t="s">
        <v>123</v>
      </c>
      <c r="Z140" t="s">
        <v>88</v>
      </c>
      <c r="AA140" t="s">
        <v>45</v>
      </c>
      <c r="AB140">
        <v>3</v>
      </c>
      <c r="AD140">
        <v>1</v>
      </c>
      <c r="AE140" t="s">
        <v>140</v>
      </c>
      <c r="AI140">
        <v>0</v>
      </c>
      <c r="AJ140">
        <v>26</v>
      </c>
    </row>
    <row r="141" spans="1:36" x14ac:dyDescent="0.25">
      <c r="A141" t="s">
        <v>427</v>
      </c>
      <c r="B141">
        <v>139</v>
      </c>
      <c r="C141" t="s">
        <v>56</v>
      </c>
      <c r="D141">
        <v>3</v>
      </c>
      <c r="F141">
        <v>2</v>
      </c>
      <c r="G141" t="s">
        <v>120</v>
      </c>
      <c r="H141" t="s">
        <v>69</v>
      </c>
      <c r="I141" t="s">
        <v>87</v>
      </c>
      <c r="K141" t="s">
        <v>45</v>
      </c>
      <c r="L141">
        <v>3</v>
      </c>
      <c r="N141">
        <v>1</v>
      </c>
      <c r="O141" t="s">
        <v>140</v>
      </c>
      <c r="S141" t="s">
        <v>33</v>
      </c>
      <c r="T141">
        <v>1</v>
      </c>
      <c r="V141">
        <v>3</v>
      </c>
      <c r="W141" t="s">
        <v>65</v>
      </c>
      <c r="X141" t="s">
        <v>130</v>
      </c>
      <c r="Y141" t="s">
        <v>36</v>
      </c>
      <c r="AA141" t="s">
        <v>43</v>
      </c>
      <c r="AB141">
        <v>2</v>
      </c>
      <c r="AD141">
        <v>1</v>
      </c>
      <c r="AE141" t="s">
        <v>135</v>
      </c>
      <c r="AF141" t="s">
        <v>136</v>
      </c>
      <c r="AI141">
        <v>0</v>
      </c>
      <c r="AJ141">
        <v>17</v>
      </c>
    </row>
    <row r="142" spans="1:36" x14ac:dyDescent="0.25">
      <c r="A142" t="s">
        <v>428</v>
      </c>
      <c r="B142">
        <v>140</v>
      </c>
      <c r="C142" t="s">
        <v>33</v>
      </c>
      <c r="D142">
        <v>2</v>
      </c>
      <c r="F142">
        <v>3</v>
      </c>
      <c r="G142" t="s">
        <v>65</v>
      </c>
      <c r="H142" t="s">
        <v>35</v>
      </c>
      <c r="I142" t="s">
        <v>131</v>
      </c>
      <c r="J142" t="s">
        <v>134</v>
      </c>
      <c r="K142" t="s">
        <v>63</v>
      </c>
      <c r="L142">
        <v>1</v>
      </c>
      <c r="N142">
        <v>1</v>
      </c>
      <c r="O142" t="s">
        <v>145</v>
      </c>
      <c r="P142" t="s">
        <v>146</v>
      </c>
      <c r="Q142" t="s">
        <v>104</v>
      </c>
      <c r="S142" t="s">
        <v>56</v>
      </c>
      <c r="T142">
        <v>2</v>
      </c>
      <c r="V142">
        <v>1</v>
      </c>
      <c r="W142" t="s">
        <v>57</v>
      </c>
      <c r="AA142" t="s">
        <v>45</v>
      </c>
      <c r="AB142">
        <v>3</v>
      </c>
      <c r="AD142">
        <v>1</v>
      </c>
      <c r="AE142" t="s">
        <v>86</v>
      </c>
      <c r="AF142" t="s">
        <v>141</v>
      </c>
      <c r="AG142" t="s">
        <v>102</v>
      </c>
      <c r="AH142" t="s">
        <v>143</v>
      </c>
      <c r="AI142">
        <v>0</v>
      </c>
      <c r="AJ142">
        <v>18</v>
      </c>
    </row>
    <row r="143" spans="1:36" x14ac:dyDescent="0.25">
      <c r="A143" t="s">
        <v>429</v>
      </c>
      <c r="B143">
        <v>141</v>
      </c>
      <c r="C143" t="s">
        <v>33</v>
      </c>
      <c r="D143">
        <v>1</v>
      </c>
      <c r="F143">
        <v>3</v>
      </c>
      <c r="G143" t="s">
        <v>65</v>
      </c>
      <c r="H143" t="s">
        <v>130</v>
      </c>
      <c r="I143" t="s">
        <v>36</v>
      </c>
      <c r="K143" t="s">
        <v>38</v>
      </c>
      <c r="L143">
        <v>1</v>
      </c>
      <c r="M143">
        <v>1</v>
      </c>
      <c r="N143">
        <v>2</v>
      </c>
      <c r="O143" t="s">
        <v>39</v>
      </c>
      <c r="P143" t="s">
        <v>96</v>
      </c>
      <c r="Q143" t="s">
        <v>154</v>
      </c>
      <c r="S143" t="s">
        <v>56</v>
      </c>
      <c r="T143">
        <v>3</v>
      </c>
      <c r="V143">
        <v>1</v>
      </c>
      <c r="W143" t="s">
        <v>120</v>
      </c>
      <c r="X143" t="s">
        <v>121</v>
      </c>
      <c r="AA143" t="s">
        <v>45</v>
      </c>
      <c r="AB143">
        <v>2</v>
      </c>
      <c r="AD143">
        <v>1</v>
      </c>
      <c r="AE143" t="s">
        <v>140</v>
      </c>
      <c r="AI143">
        <v>0</v>
      </c>
      <c r="AJ143">
        <v>15</v>
      </c>
    </row>
    <row r="144" spans="1:36" x14ac:dyDescent="0.25">
      <c r="A144" t="s">
        <v>430</v>
      </c>
      <c r="B144">
        <v>142</v>
      </c>
      <c r="C144" t="s">
        <v>43</v>
      </c>
      <c r="D144">
        <v>2</v>
      </c>
      <c r="F144">
        <v>2</v>
      </c>
      <c r="G144" t="s">
        <v>44</v>
      </c>
      <c r="H144" t="s">
        <v>136</v>
      </c>
      <c r="I144" t="s">
        <v>75</v>
      </c>
      <c r="K144" t="s">
        <v>63</v>
      </c>
      <c r="L144">
        <v>1</v>
      </c>
      <c r="N144">
        <v>2</v>
      </c>
      <c r="O144" t="s">
        <v>145</v>
      </c>
      <c r="P144" t="s">
        <v>146</v>
      </c>
      <c r="Q144" t="s">
        <v>148</v>
      </c>
      <c r="S144" t="s">
        <v>56</v>
      </c>
      <c r="T144">
        <v>3</v>
      </c>
      <c r="V144">
        <v>1</v>
      </c>
      <c r="W144" t="s">
        <v>120</v>
      </c>
      <c r="X144" t="s">
        <v>69</v>
      </c>
      <c r="AA144" t="s">
        <v>45</v>
      </c>
      <c r="AB144">
        <v>3</v>
      </c>
      <c r="AD144">
        <v>1</v>
      </c>
      <c r="AE144" t="s">
        <v>86</v>
      </c>
      <c r="AI144">
        <v>0</v>
      </c>
      <c r="AJ144">
        <v>16</v>
      </c>
    </row>
    <row r="145" spans="1:36" x14ac:dyDescent="0.25">
      <c r="A145" t="s">
        <v>431</v>
      </c>
      <c r="B145">
        <v>143</v>
      </c>
      <c r="C145" t="s">
        <v>56</v>
      </c>
      <c r="D145">
        <v>1</v>
      </c>
      <c r="F145">
        <v>3</v>
      </c>
      <c r="G145" t="s">
        <v>120</v>
      </c>
      <c r="H145" t="s">
        <v>121</v>
      </c>
      <c r="K145" t="s">
        <v>45</v>
      </c>
      <c r="L145">
        <v>3</v>
      </c>
      <c r="N145">
        <v>1</v>
      </c>
      <c r="O145" t="s">
        <v>140</v>
      </c>
      <c r="P145" t="s">
        <v>92</v>
      </c>
      <c r="Q145" t="s">
        <v>142</v>
      </c>
      <c r="S145" t="s">
        <v>43</v>
      </c>
      <c r="T145">
        <v>2</v>
      </c>
      <c r="V145">
        <v>1</v>
      </c>
      <c r="W145" t="s">
        <v>73</v>
      </c>
      <c r="X145" t="s">
        <v>74</v>
      </c>
      <c r="Y145" t="s">
        <v>75</v>
      </c>
      <c r="Z145" t="s">
        <v>101</v>
      </c>
      <c r="AA145" t="s">
        <v>38</v>
      </c>
      <c r="AB145">
        <v>1</v>
      </c>
      <c r="AC145">
        <v>1</v>
      </c>
      <c r="AD145">
        <v>1</v>
      </c>
      <c r="AE145" t="s">
        <v>39</v>
      </c>
      <c r="AF145" t="s">
        <v>96</v>
      </c>
      <c r="AG145" t="s">
        <v>153</v>
      </c>
      <c r="AH145" t="s">
        <v>155</v>
      </c>
      <c r="AI145">
        <v>0</v>
      </c>
      <c r="AJ145">
        <v>20</v>
      </c>
    </row>
    <row r="146" spans="1:36" x14ac:dyDescent="0.25">
      <c r="A146" t="s">
        <v>432</v>
      </c>
      <c r="B146">
        <v>144</v>
      </c>
      <c r="C146" t="s">
        <v>56</v>
      </c>
      <c r="D146">
        <v>3</v>
      </c>
      <c r="F146">
        <v>3</v>
      </c>
      <c r="G146" t="s">
        <v>57</v>
      </c>
      <c r="H146" t="s">
        <v>69</v>
      </c>
      <c r="I146" t="s">
        <v>123</v>
      </c>
      <c r="J146" t="s">
        <v>124</v>
      </c>
      <c r="K146" t="s">
        <v>45</v>
      </c>
      <c r="L146">
        <v>2</v>
      </c>
      <c r="N146">
        <v>1</v>
      </c>
      <c r="O146" t="s">
        <v>86</v>
      </c>
      <c r="S146" t="s">
        <v>63</v>
      </c>
      <c r="T146">
        <v>3</v>
      </c>
      <c r="V146">
        <v>3</v>
      </c>
      <c r="W146" t="s">
        <v>103</v>
      </c>
      <c r="X146" t="s">
        <v>146</v>
      </c>
      <c r="Y146" t="s">
        <v>147</v>
      </c>
      <c r="Z146" t="s">
        <v>151</v>
      </c>
      <c r="AA146" t="s">
        <v>38</v>
      </c>
      <c r="AB146">
        <v>1</v>
      </c>
      <c r="AC146">
        <v>1</v>
      </c>
      <c r="AD146">
        <v>2</v>
      </c>
      <c r="AE146" t="s">
        <v>39</v>
      </c>
      <c r="AF146" t="s">
        <v>96</v>
      </c>
      <c r="AI146">
        <v>0</v>
      </c>
      <c r="AJ146">
        <v>22</v>
      </c>
    </row>
    <row r="147" spans="1:36" x14ac:dyDescent="0.25">
      <c r="A147" t="s">
        <v>433</v>
      </c>
      <c r="B147">
        <v>145</v>
      </c>
      <c r="C147" t="s">
        <v>48</v>
      </c>
      <c r="D147">
        <v>1</v>
      </c>
      <c r="F147">
        <v>1</v>
      </c>
      <c r="G147" t="s">
        <v>49</v>
      </c>
      <c r="H147" t="s">
        <v>84</v>
      </c>
      <c r="I147" t="s">
        <v>127</v>
      </c>
      <c r="J147" t="s">
        <v>129</v>
      </c>
      <c r="K147" t="s">
        <v>33</v>
      </c>
      <c r="L147">
        <v>2</v>
      </c>
      <c r="N147">
        <v>3</v>
      </c>
      <c r="O147" t="s">
        <v>34</v>
      </c>
      <c r="P147" t="s">
        <v>66</v>
      </c>
      <c r="S147" t="s">
        <v>56</v>
      </c>
      <c r="T147">
        <v>3</v>
      </c>
      <c r="V147">
        <v>1</v>
      </c>
      <c r="W147" t="s">
        <v>120</v>
      </c>
      <c r="X147" t="s">
        <v>121</v>
      </c>
      <c r="AA147" t="s">
        <v>63</v>
      </c>
      <c r="AB147">
        <v>1</v>
      </c>
      <c r="AD147">
        <v>1</v>
      </c>
      <c r="AE147" t="s">
        <v>145</v>
      </c>
      <c r="AF147" t="s">
        <v>91</v>
      </c>
      <c r="AG147" t="s">
        <v>104</v>
      </c>
      <c r="AI147">
        <v>0</v>
      </c>
      <c r="AJ147">
        <v>16</v>
      </c>
    </row>
    <row r="148" spans="1:36" x14ac:dyDescent="0.25">
      <c r="A148" t="s">
        <v>434</v>
      </c>
      <c r="B148">
        <v>146</v>
      </c>
      <c r="C148" t="s">
        <v>56</v>
      </c>
      <c r="D148">
        <v>2</v>
      </c>
      <c r="F148">
        <v>2</v>
      </c>
      <c r="G148" t="s">
        <v>120</v>
      </c>
      <c r="H148" t="s">
        <v>69</v>
      </c>
      <c r="I148" t="s">
        <v>87</v>
      </c>
      <c r="K148" t="s">
        <v>63</v>
      </c>
      <c r="L148">
        <v>2</v>
      </c>
      <c r="N148">
        <v>1</v>
      </c>
      <c r="O148" t="s">
        <v>145</v>
      </c>
      <c r="P148" t="s">
        <v>146</v>
      </c>
      <c r="Q148" t="s">
        <v>148</v>
      </c>
      <c r="S148" t="s">
        <v>48</v>
      </c>
      <c r="T148">
        <v>1</v>
      </c>
      <c r="V148">
        <v>1</v>
      </c>
      <c r="W148" t="s">
        <v>49</v>
      </c>
      <c r="X148" t="s">
        <v>84</v>
      </c>
      <c r="Y148" t="s">
        <v>127</v>
      </c>
      <c r="AA148" t="s">
        <v>43</v>
      </c>
      <c r="AB148">
        <v>3</v>
      </c>
      <c r="AD148">
        <v>1</v>
      </c>
      <c r="AE148" t="s">
        <v>44</v>
      </c>
      <c r="AF148" t="s">
        <v>136</v>
      </c>
      <c r="AG148" t="s">
        <v>137</v>
      </c>
      <c r="AI148">
        <v>0</v>
      </c>
      <c r="AJ148">
        <v>20</v>
      </c>
    </row>
    <row r="149" spans="1:36" x14ac:dyDescent="0.25">
      <c r="A149" t="s">
        <v>435</v>
      </c>
      <c r="B149">
        <v>147</v>
      </c>
      <c r="C149" t="s">
        <v>56</v>
      </c>
      <c r="D149">
        <v>3</v>
      </c>
      <c r="F149">
        <v>3</v>
      </c>
      <c r="G149" t="s">
        <v>120</v>
      </c>
      <c r="H149" t="s">
        <v>121</v>
      </c>
      <c r="I149" t="s">
        <v>123</v>
      </c>
      <c r="K149" t="s">
        <v>63</v>
      </c>
      <c r="L149">
        <v>1</v>
      </c>
      <c r="N149">
        <v>1</v>
      </c>
      <c r="O149" t="s">
        <v>145</v>
      </c>
      <c r="P149" t="s">
        <v>146</v>
      </c>
      <c r="S149" t="s">
        <v>48</v>
      </c>
      <c r="T149">
        <v>3</v>
      </c>
      <c r="V149">
        <v>2</v>
      </c>
      <c r="W149" t="s">
        <v>49</v>
      </c>
      <c r="X149" t="s">
        <v>50</v>
      </c>
      <c r="Y149" t="s">
        <v>51</v>
      </c>
      <c r="Z149" t="s">
        <v>129</v>
      </c>
      <c r="AA149" t="s">
        <v>45</v>
      </c>
      <c r="AB149">
        <v>3</v>
      </c>
      <c r="AD149">
        <v>3</v>
      </c>
      <c r="AE149" t="s">
        <v>86</v>
      </c>
      <c r="AF149" t="s">
        <v>141</v>
      </c>
      <c r="AG149" t="s">
        <v>142</v>
      </c>
      <c r="AH149" t="s">
        <v>144</v>
      </c>
      <c r="AI149">
        <v>0</v>
      </c>
      <c r="AJ149">
        <v>26</v>
      </c>
    </row>
    <row r="150" spans="1:36" x14ac:dyDescent="0.25">
      <c r="A150" t="s">
        <v>436</v>
      </c>
      <c r="B150">
        <v>148</v>
      </c>
      <c r="C150" t="s">
        <v>48</v>
      </c>
      <c r="D150">
        <v>2</v>
      </c>
      <c r="F150">
        <v>1</v>
      </c>
      <c r="G150" t="s">
        <v>49</v>
      </c>
      <c r="H150" t="s">
        <v>71</v>
      </c>
      <c r="I150" t="s">
        <v>51</v>
      </c>
      <c r="K150" t="s">
        <v>38</v>
      </c>
      <c r="L150">
        <v>2</v>
      </c>
      <c r="M150">
        <v>1</v>
      </c>
      <c r="N150">
        <v>1</v>
      </c>
      <c r="O150" t="s">
        <v>152</v>
      </c>
      <c r="P150" t="s">
        <v>96</v>
      </c>
      <c r="Q150" t="s">
        <v>41</v>
      </c>
      <c r="R150" t="s">
        <v>155</v>
      </c>
      <c r="S150" t="s">
        <v>56</v>
      </c>
      <c r="T150">
        <v>2</v>
      </c>
      <c r="V150">
        <v>1</v>
      </c>
      <c r="W150" t="s">
        <v>57</v>
      </c>
      <c r="X150" t="s">
        <v>122</v>
      </c>
      <c r="Y150" t="s">
        <v>85</v>
      </c>
      <c r="AA150" t="s">
        <v>63</v>
      </c>
      <c r="AB150">
        <v>1</v>
      </c>
      <c r="AD150">
        <v>1</v>
      </c>
      <c r="AE150" t="s">
        <v>145</v>
      </c>
      <c r="AF150" t="s">
        <v>91</v>
      </c>
      <c r="AG150" t="s">
        <v>104</v>
      </c>
      <c r="AI150">
        <v>0</v>
      </c>
      <c r="AJ150">
        <v>16</v>
      </c>
    </row>
    <row r="151" spans="1:36" x14ac:dyDescent="0.25">
      <c r="A151" t="s">
        <v>437</v>
      </c>
      <c r="B151">
        <v>149</v>
      </c>
      <c r="C151" t="s">
        <v>56</v>
      </c>
      <c r="D151">
        <v>1</v>
      </c>
      <c r="F151">
        <v>1</v>
      </c>
      <c r="G151" t="s">
        <v>68</v>
      </c>
      <c r="H151" t="s">
        <v>121</v>
      </c>
      <c r="K151" t="s">
        <v>63</v>
      </c>
      <c r="L151">
        <v>2</v>
      </c>
      <c r="N151">
        <v>1</v>
      </c>
      <c r="O151" t="s">
        <v>145</v>
      </c>
      <c r="S151" t="s">
        <v>33</v>
      </c>
      <c r="T151">
        <v>2</v>
      </c>
      <c r="V151">
        <v>1</v>
      </c>
      <c r="W151" t="s">
        <v>34</v>
      </c>
      <c r="X151" t="s">
        <v>66</v>
      </c>
      <c r="AA151" t="s">
        <v>43</v>
      </c>
      <c r="AB151">
        <v>1</v>
      </c>
      <c r="AD151">
        <v>1</v>
      </c>
      <c r="AE151" t="s">
        <v>135</v>
      </c>
      <c r="AF151" t="s">
        <v>99</v>
      </c>
      <c r="AI151">
        <v>0</v>
      </c>
      <c r="AJ151">
        <v>10</v>
      </c>
    </row>
    <row r="152" spans="1:36" x14ac:dyDescent="0.25">
      <c r="A152" t="s">
        <v>438</v>
      </c>
      <c r="B152">
        <v>150</v>
      </c>
      <c r="C152" t="s">
        <v>56</v>
      </c>
      <c r="D152">
        <v>3</v>
      </c>
      <c r="F152">
        <v>1</v>
      </c>
      <c r="G152" t="s">
        <v>68</v>
      </c>
      <c r="H152" t="s">
        <v>122</v>
      </c>
      <c r="K152" t="s">
        <v>63</v>
      </c>
      <c r="L152">
        <v>1</v>
      </c>
      <c r="N152">
        <v>1</v>
      </c>
      <c r="O152" t="s">
        <v>145</v>
      </c>
      <c r="P152" t="s">
        <v>146</v>
      </c>
      <c r="S152" t="s">
        <v>33</v>
      </c>
      <c r="T152">
        <v>2</v>
      </c>
      <c r="V152">
        <v>2</v>
      </c>
      <c r="W152" t="s">
        <v>34</v>
      </c>
      <c r="X152" t="s">
        <v>66</v>
      </c>
      <c r="AA152" t="s">
        <v>45</v>
      </c>
      <c r="AB152">
        <v>2</v>
      </c>
      <c r="AD152">
        <v>2</v>
      </c>
      <c r="AE152" t="s">
        <v>86</v>
      </c>
      <c r="AI152">
        <v>0</v>
      </c>
      <c r="AJ152">
        <v>13</v>
      </c>
    </row>
    <row r="153" spans="1:36" x14ac:dyDescent="0.25">
      <c r="A153" t="s">
        <v>439</v>
      </c>
      <c r="B153">
        <v>151</v>
      </c>
      <c r="C153" t="s">
        <v>56</v>
      </c>
      <c r="D153">
        <v>2</v>
      </c>
      <c r="F153">
        <v>1</v>
      </c>
      <c r="G153" t="s">
        <v>57</v>
      </c>
      <c r="K153" t="s">
        <v>63</v>
      </c>
      <c r="L153">
        <v>3</v>
      </c>
      <c r="N153">
        <v>1</v>
      </c>
      <c r="O153" t="s">
        <v>72</v>
      </c>
      <c r="P153" t="s">
        <v>95</v>
      </c>
      <c r="Q153" t="s">
        <v>104</v>
      </c>
      <c r="S153" t="s">
        <v>33</v>
      </c>
      <c r="T153">
        <v>2</v>
      </c>
      <c r="V153">
        <v>3</v>
      </c>
      <c r="W153" t="s">
        <v>34</v>
      </c>
      <c r="X153" t="s">
        <v>66</v>
      </c>
      <c r="AA153" t="s">
        <v>38</v>
      </c>
      <c r="AB153">
        <v>1</v>
      </c>
      <c r="AC153">
        <v>1</v>
      </c>
      <c r="AD153">
        <v>1</v>
      </c>
      <c r="AE153" t="s">
        <v>39</v>
      </c>
      <c r="AF153" t="s">
        <v>96</v>
      </c>
      <c r="AG153" t="s">
        <v>154</v>
      </c>
      <c r="AH153" t="s">
        <v>155</v>
      </c>
      <c r="AI153">
        <v>0</v>
      </c>
      <c r="AJ153">
        <v>16</v>
      </c>
    </row>
    <row r="154" spans="1:36" x14ac:dyDescent="0.25">
      <c r="A154" s="36" t="s">
        <v>440</v>
      </c>
      <c r="B154">
        <v>152</v>
      </c>
      <c r="C154" t="s">
        <v>56</v>
      </c>
      <c r="D154">
        <v>2</v>
      </c>
      <c r="F154">
        <v>1</v>
      </c>
      <c r="G154" t="s">
        <v>120</v>
      </c>
      <c r="H154" t="s">
        <v>69</v>
      </c>
      <c r="I154" t="s">
        <v>87</v>
      </c>
      <c r="K154" t="s">
        <v>63</v>
      </c>
      <c r="L154">
        <v>1</v>
      </c>
      <c r="N154">
        <v>2</v>
      </c>
      <c r="O154" t="s">
        <v>145</v>
      </c>
      <c r="P154" t="s">
        <v>146</v>
      </c>
      <c r="Q154" t="s">
        <v>147</v>
      </c>
      <c r="S154" t="s">
        <v>43</v>
      </c>
      <c r="T154">
        <v>2</v>
      </c>
      <c r="V154">
        <v>1</v>
      </c>
      <c r="W154" t="s">
        <v>44</v>
      </c>
      <c r="AA154" t="s">
        <v>45</v>
      </c>
      <c r="AB154">
        <v>3</v>
      </c>
      <c r="AD154">
        <v>1</v>
      </c>
      <c r="AE154" t="s">
        <v>86</v>
      </c>
      <c r="AF154" t="s">
        <v>141</v>
      </c>
      <c r="AG154" t="s">
        <v>93</v>
      </c>
      <c r="AI154">
        <v>0</v>
      </c>
      <c r="AJ154">
        <v>16</v>
      </c>
    </row>
    <row r="155" spans="1:36" x14ac:dyDescent="0.25">
      <c r="A155" t="s">
        <v>441</v>
      </c>
      <c r="B155">
        <v>153</v>
      </c>
      <c r="C155" t="s">
        <v>56</v>
      </c>
      <c r="D155">
        <v>3</v>
      </c>
      <c r="F155">
        <v>3</v>
      </c>
      <c r="G155" t="s">
        <v>120</v>
      </c>
      <c r="H155" t="s">
        <v>121</v>
      </c>
      <c r="K155" t="s">
        <v>63</v>
      </c>
      <c r="L155">
        <v>1</v>
      </c>
      <c r="N155">
        <v>1</v>
      </c>
      <c r="O155" t="s">
        <v>72</v>
      </c>
      <c r="P155" t="s">
        <v>146</v>
      </c>
      <c r="Q155" t="s">
        <v>147</v>
      </c>
      <c r="S155" t="s">
        <v>43</v>
      </c>
      <c r="T155">
        <v>2</v>
      </c>
      <c r="V155">
        <v>1</v>
      </c>
      <c r="W155" t="s">
        <v>44</v>
      </c>
      <c r="X155" t="s">
        <v>136</v>
      </c>
      <c r="Y155" t="s">
        <v>75</v>
      </c>
      <c r="AA155" t="s">
        <v>38</v>
      </c>
      <c r="AB155">
        <v>2</v>
      </c>
      <c r="AC155">
        <v>1</v>
      </c>
      <c r="AD155">
        <v>2</v>
      </c>
      <c r="AE155" t="s">
        <v>39</v>
      </c>
      <c r="AF155" t="s">
        <v>96</v>
      </c>
      <c r="AG155" t="s">
        <v>154</v>
      </c>
      <c r="AI155">
        <v>0</v>
      </c>
      <c r="AJ155">
        <v>18</v>
      </c>
    </row>
    <row r="156" spans="1:36" x14ac:dyDescent="0.25">
      <c r="A156" t="s">
        <v>442</v>
      </c>
      <c r="B156">
        <v>154</v>
      </c>
      <c r="C156" t="s">
        <v>56</v>
      </c>
      <c r="D156">
        <v>2</v>
      </c>
      <c r="F156">
        <v>3</v>
      </c>
      <c r="G156" t="s">
        <v>57</v>
      </c>
      <c r="H156" t="s">
        <v>122</v>
      </c>
      <c r="I156" t="s">
        <v>85</v>
      </c>
      <c r="K156" t="s">
        <v>63</v>
      </c>
      <c r="L156">
        <v>2</v>
      </c>
      <c r="N156">
        <v>1</v>
      </c>
      <c r="O156" t="s">
        <v>145</v>
      </c>
      <c r="P156" t="s">
        <v>146</v>
      </c>
      <c r="Q156" t="s">
        <v>147</v>
      </c>
      <c r="R156" t="s">
        <v>150</v>
      </c>
      <c r="S156" t="s">
        <v>45</v>
      </c>
      <c r="T156">
        <v>3</v>
      </c>
      <c r="V156">
        <v>1</v>
      </c>
      <c r="W156" t="s">
        <v>86</v>
      </c>
      <c r="X156" t="s">
        <v>76</v>
      </c>
      <c r="Y156" t="s">
        <v>93</v>
      </c>
      <c r="AA156" t="s">
        <v>38</v>
      </c>
      <c r="AB156">
        <v>3</v>
      </c>
      <c r="AC156">
        <v>1</v>
      </c>
      <c r="AD156">
        <v>2</v>
      </c>
      <c r="AE156" t="s">
        <v>39</v>
      </c>
      <c r="AF156" t="s">
        <v>40</v>
      </c>
      <c r="AG156" t="s">
        <v>41</v>
      </c>
      <c r="AI156">
        <v>0</v>
      </c>
      <c r="AJ156">
        <v>23</v>
      </c>
    </row>
    <row r="157" spans="1:36" x14ac:dyDescent="0.25">
      <c r="A157" t="s">
        <v>443</v>
      </c>
      <c r="B157">
        <v>155</v>
      </c>
      <c r="C157" t="s">
        <v>56</v>
      </c>
      <c r="D157">
        <v>3</v>
      </c>
      <c r="F157">
        <v>1</v>
      </c>
      <c r="G157" t="s">
        <v>120</v>
      </c>
      <c r="H157" t="s">
        <v>122</v>
      </c>
      <c r="K157" t="s">
        <v>38</v>
      </c>
      <c r="L157">
        <v>3</v>
      </c>
      <c r="M157">
        <v>2</v>
      </c>
      <c r="N157">
        <v>1</v>
      </c>
      <c r="O157" t="s">
        <v>67</v>
      </c>
      <c r="S157" t="s">
        <v>48</v>
      </c>
      <c r="T157">
        <v>1</v>
      </c>
      <c r="V157">
        <v>1</v>
      </c>
      <c r="W157" t="s">
        <v>126</v>
      </c>
      <c r="X157" t="s">
        <v>84</v>
      </c>
      <c r="Y157" t="s">
        <v>127</v>
      </c>
      <c r="AA157" t="s">
        <v>33</v>
      </c>
      <c r="AB157">
        <v>2</v>
      </c>
      <c r="AD157">
        <v>3</v>
      </c>
      <c r="AE157" t="s">
        <v>65</v>
      </c>
      <c r="AI157">
        <v>0</v>
      </c>
      <c r="AJ157">
        <v>15</v>
      </c>
    </row>
    <row r="158" spans="1:36" x14ac:dyDescent="0.25">
      <c r="A158" t="s">
        <v>444</v>
      </c>
      <c r="B158">
        <v>156</v>
      </c>
      <c r="C158" t="s">
        <v>48</v>
      </c>
      <c r="D158">
        <v>2</v>
      </c>
      <c r="F158">
        <v>1</v>
      </c>
      <c r="G158" t="s">
        <v>49</v>
      </c>
      <c r="H158" t="s">
        <v>50</v>
      </c>
      <c r="I158" t="s">
        <v>127</v>
      </c>
      <c r="J158" t="s">
        <v>129</v>
      </c>
      <c r="K158" t="s">
        <v>43</v>
      </c>
      <c r="L158">
        <v>1</v>
      </c>
      <c r="N158">
        <v>2</v>
      </c>
      <c r="O158" t="s">
        <v>44</v>
      </c>
      <c r="P158" t="s">
        <v>136</v>
      </c>
      <c r="Q158" t="s">
        <v>75</v>
      </c>
      <c r="S158" t="s">
        <v>56</v>
      </c>
      <c r="T158">
        <v>2</v>
      </c>
      <c r="V158">
        <v>1</v>
      </c>
      <c r="W158" t="s">
        <v>120</v>
      </c>
      <c r="X158" t="s">
        <v>121</v>
      </c>
      <c r="Y158" t="s">
        <v>123</v>
      </c>
      <c r="AA158" t="s">
        <v>38</v>
      </c>
      <c r="AB158">
        <v>2</v>
      </c>
      <c r="AC158">
        <v>1</v>
      </c>
      <c r="AD158">
        <v>2</v>
      </c>
      <c r="AE158" t="s">
        <v>39</v>
      </c>
      <c r="AI158">
        <v>0</v>
      </c>
      <c r="AJ158">
        <v>16</v>
      </c>
    </row>
    <row r="159" spans="1:36" x14ac:dyDescent="0.25">
      <c r="A159" t="s">
        <v>445</v>
      </c>
      <c r="B159">
        <v>157</v>
      </c>
      <c r="C159" t="s">
        <v>48</v>
      </c>
      <c r="D159">
        <v>1</v>
      </c>
      <c r="F159">
        <v>1</v>
      </c>
      <c r="G159" t="s">
        <v>49</v>
      </c>
      <c r="H159" t="s">
        <v>50</v>
      </c>
      <c r="I159" t="s">
        <v>51</v>
      </c>
      <c r="J159" t="s">
        <v>128</v>
      </c>
      <c r="K159" t="s">
        <v>45</v>
      </c>
      <c r="L159">
        <v>2</v>
      </c>
      <c r="N159">
        <v>1</v>
      </c>
      <c r="O159" t="s">
        <v>140</v>
      </c>
      <c r="P159" t="s">
        <v>141</v>
      </c>
      <c r="Q159" t="s">
        <v>142</v>
      </c>
      <c r="S159" t="s">
        <v>56</v>
      </c>
      <c r="T159">
        <v>1</v>
      </c>
      <c r="V159">
        <v>1</v>
      </c>
      <c r="W159" t="s">
        <v>120</v>
      </c>
      <c r="X159" t="s">
        <v>121</v>
      </c>
      <c r="Y159" t="s">
        <v>123</v>
      </c>
      <c r="AA159" t="s">
        <v>38</v>
      </c>
      <c r="AB159">
        <v>1</v>
      </c>
      <c r="AC159">
        <v>1</v>
      </c>
      <c r="AD159">
        <v>2</v>
      </c>
      <c r="AE159" t="s">
        <v>39</v>
      </c>
      <c r="AI159">
        <v>0</v>
      </c>
      <c r="AJ159">
        <v>13</v>
      </c>
    </row>
    <row r="160" spans="1:36" x14ac:dyDescent="0.25">
      <c r="A160" t="s">
        <v>446</v>
      </c>
      <c r="B160">
        <v>158</v>
      </c>
      <c r="C160" t="s">
        <v>48</v>
      </c>
      <c r="D160">
        <v>1</v>
      </c>
      <c r="F160">
        <v>2</v>
      </c>
      <c r="G160" t="s">
        <v>89</v>
      </c>
      <c r="H160" t="s">
        <v>50</v>
      </c>
      <c r="I160" t="s">
        <v>127</v>
      </c>
      <c r="J160" t="s">
        <v>52</v>
      </c>
      <c r="K160" t="s">
        <v>63</v>
      </c>
      <c r="L160">
        <v>1</v>
      </c>
      <c r="N160">
        <v>1</v>
      </c>
      <c r="O160" t="s">
        <v>103</v>
      </c>
      <c r="P160" t="s">
        <v>146</v>
      </c>
      <c r="Q160" t="s">
        <v>147</v>
      </c>
      <c r="R160" t="s">
        <v>151</v>
      </c>
      <c r="S160" t="s">
        <v>56</v>
      </c>
      <c r="T160">
        <v>3</v>
      </c>
      <c r="V160">
        <v>1</v>
      </c>
      <c r="W160" t="s">
        <v>57</v>
      </c>
      <c r="AA160" t="s">
        <v>38</v>
      </c>
      <c r="AB160">
        <v>3</v>
      </c>
      <c r="AC160">
        <v>1</v>
      </c>
      <c r="AD160">
        <v>1</v>
      </c>
      <c r="AE160" t="s">
        <v>39</v>
      </c>
      <c r="AF160" t="s">
        <v>40</v>
      </c>
      <c r="AG160" t="s">
        <v>41</v>
      </c>
      <c r="AI160">
        <v>0</v>
      </c>
      <c r="AJ160">
        <v>17</v>
      </c>
    </row>
    <row r="161" spans="1:36" x14ac:dyDescent="0.25">
      <c r="A161" t="s">
        <v>447</v>
      </c>
      <c r="B161">
        <v>159</v>
      </c>
      <c r="C161" t="s">
        <v>56</v>
      </c>
      <c r="D161">
        <v>2</v>
      </c>
      <c r="F161">
        <v>1</v>
      </c>
      <c r="G161" t="s">
        <v>120</v>
      </c>
      <c r="H161" t="s">
        <v>122</v>
      </c>
      <c r="K161" t="s">
        <v>38</v>
      </c>
      <c r="L161">
        <v>1</v>
      </c>
      <c r="M161">
        <v>1</v>
      </c>
      <c r="N161">
        <v>2</v>
      </c>
      <c r="O161" t="s">
        <v>39</v>
      </c>
      <c r="P161" t="s">
        <v>96</v>
      </c>
      <c r="S161" t="s">
        <v>33</v>
      </c>
      <c r="T161">
        <v>1</v>
      </c>
      <c r="V161">
        <v>2</v>
      </c>
      <c r="W161" t="s">
        <v>65</v>
      </c>
      <c r="X161" t="s">
        <v>66</v>
      </c>
      <c r="AA161" t="s">
        <v>43</v>
      </c>
      <c r="AB161">
        <v>1</v>
      </c>
      <c r="AD161">
        <v>1</v>
      </c>
      <c r="AE161" t="s">
        <v>73</v>
      </c>
      <c r="AF161" t="s">
        <v>136</v>
      </c>
      <c r="AI161">
        <v>0</v>
      </c>
      <c r="AJ161">
        <v>11</v>
      </c>
    </row>
    <row r="162" spans="1:36" x14ac:dyDescent="0.25">
      <c r="A162" t="s">
        <v>448</v>
      </c>
      <c r="B162">
        <v>160</v>
      </c>
      <c r="C162" t="s">
        <v>33</v>
      </c>
      <c r="D162">
        <v>1</v>
      </c>
      <c r="F162">
        <v>2</v>
      </c>
      <c r="G162" t="s">
        <v>65</v>
      </c>
      <c r="H162" t="s">
        <v>130</v>
      </c>
      <c r="K162" t="s">
        <v>45</v>
      </c>
      <c r="L162">
        <v>3</v>
      </c>
      <c r="N162">
        <v>1</v>
      </c>
      <c r="O162" t="s">
        <v>140</v>
      </c>
      <c r="P162" t="s">
        <v>76</v>
      </c>
      <c r="Q162" t="s">
        <v>142</v>
      </c>
      <c r="S162" t="s">
        <v>56</v>
      </c>
      <c r="T162">
        <v>2</v>
      </c>
      <c r="V162">
        <v>1</v>
      </c>
      <c r="W162" t="s">
        <v>120</v>
      </c>
      <c r="X162" t="s">
        <v>121</v>
      </c>
      <c r="Y162" t="s">
        <v>123</v>
      </c>
      <c r="AA162" t="s">
        <v>38</v>
      </c>
      <c r="AB162">
        <v>1</v>
      </c>
      <c r="AC162">
        <v>1</v>
      </c>
      <c r="AD162">
        <v>2</v>
      </c>
      <c r="AE162" t="s">
        <v>67</v>
      </c>
      <c r="AI162">
        <v>0</v>
      </c>
      <c r="AJ162">
        <v>14</v>
      </c>
    </row>
    <row r="163" spans="1:36" x14ac:dyDescent="0.25">
      <c r="A163" t="s">
        <v>449</v>
      </c>
      <c r="B163">
        <v>161</v>
      </c>
      <c r="C163" t="s">
        <v>56</v>
      </c>
      <c r="D163">
        <v>3</v>
      </c>
      <c r="F163">
        <v>1</v>
      </c>
      <c r="G163" t="s">
        <v>120</v>
      </c>
      <c r="H163" t="s">
        <v>69</v>
      </c>
      <c r="I163" t="s">
        <v>87</v>
      </c>
      <c r="K163" t="s">
        <v>38</v>
      </c>
      <c r="L163">
        <v>2</v>
      </c>
      <c r="M163">
        <v>1</v>
      </c>
      <c r="N163">
        <v>2</v>
      </c>
      <c r="O163" t="s">
        <v>67</v>
      </c>
      <c r="P163" t="s">
        <v>40</v>
      </c>
      <c r="Q163" t="s">
        <v>41</v>
      </c>
      <c r="S163" t="s">
        <v>33</v>
      </c>
      <c r="T163">
        <v>1</v>
      </c>
      <c r="V163">
        <v>3</v>
      </c>
      <c r="W163" t="s">
        <v>65</v>
      </c>
      <c r="X163" t="s">
        <v>35</v>
      </c>
      <c r="AA163" t="s">
        <v>63</v>
      </c>
      <c r="AB163">
        <v>2</v>
      </c>
      <c r="AD163">
        <v>2</v>
      </c>
      <c r="AE163" t="s">
        <v>103</v>
      </c>
      <c r="AF163" t="s">
        <v>146</v>
      </c>
      <c r="AI163">
        <v>0</v>
      </c>
      <c r="AJ163">
        <v>18</v>
      </c>
    </row>
    <row r="164" spans="1:36" x14ac:dyDescent="0.25">
      <c r="A164" t="s">
        <v>450</v>
      </c>
      <c r="B164">
        <v>162</v>
      </c>
      <c r="C164" t="s">
        <v>56</v>
      </c>
      <c r="D164">
        <v>2</v>
      </c>
      <c r="F164">
        <v>1</v>
      </c>
      <c r="G164" t="s">
        <v>120</v>
      </c>
      <c r="H164" t="s">
        <v>69</v>
      </c>
      <c r="K164" t="s">
        <v>38</v>
      </c>
      <c r="L164">
        <v>1</v>
      </c>
      <c r="M164">
        <v>1</v>
      </c>
      <c r="N164">
        <v>2</v>
      </c>
      <c r="O164" t="s">
        <v>39</v>
      </c>
      <c r="P164" t="s">
        <v>96</v>
      </c>
      <c r="S164" t="s">
        <v>43</v>
      </c>
      <c r="T164">
        <v>2</v>
      </c>
      <c r="V164">
        <v>1</v>
      </c>
      <c r="W164" t="s">
        <v>44</v>
      </c>
      <c r="AA164" t="s">
        <v>45</v>
      </c>
      <c r="AB164">
        <v>3</v>
      </c>
      <c r="AD164">
        <v>1</v>
      </c>
      <c r="AE164" t="s">
        <v>140</v>
      </c>
      <c r="AI164">
        <v>0</v>
      </c>
      <c r="AJ164">
        <v>11</v>
      </c>
    </row>
    <row r="165" spans="1:36" x14ac:dyDescent="0.25">
      <c r="A165" s="36" t="s">
        <v>451</v>
      </c>
      <c r="B165">
        <v>163</v>
      </c>
      <c r="C165" t="s">
        <v>56</v>
      </c>
      <c r="D165">
        <v>2</v>
      </c>
      <c r="F165">
        <v>1</v>
      </c>
      <c r="G165" t="s">
        <v>120</v>
      </c>
      <c r="H165" t="s">
        <v>122</v>
      </c>
      <c r="I165" t="s">
        <v>87</v>
      </c>
      <c r="K165" t="s">
        <v>38</v>
      </c>
      <c r="L165">
        <v>2</v>
      </c>
      <c r="M165">
        <v>1</v>
      </c>
      <c r="N165">
        <v>2</v>
      </c>
      <c r="O165" t="s">
        <v>39</v>
      </c>
      <c r="P165" t="s">
        <v>96</v>
      </c>
      <c r="Q165" t="s">
        <v>154</v>
      </c>
      <c r="S165" t="s">
        <v>43</v>
      </c>
      <c r="T165">
        <v>2</v>
      </c>
      <c r="V165">
        <v>1</v>
      </c>
      <c r="W165" t="s">
        <v>44</v>
      </c>
      <c r="AA165" t="s">
        <v>63</v>
      </c>
      <c r="AB165">
        <v>2</v>
      </c>
      <c r="AD165">
        <v>1</v>
      </c>
      <c r="AE165" t="s">
        <v>103</v>
      </c>
      <c r="AF165" t="s">
        <v>95</v>
      </c>
      <c r="AG165" t="s">
        <v>147</v>
      </c>
      <c r="AI165">
        <v>0</v>
      </c>
      <c r="AJ165">
        <v>15</v>
      </c>
    </row>
    <row r="166" spans="1:36" x14ac:dyDescent="0.25">
      <c r="A166" t="s">
        <v>452</v>
      </c>
      <c r="B166">
        <v>164</v>
      </c>
      <c r="C166" t="s">
        <v>56</v>
      </c>
      <c r="D166">
        <v>2</v>
      </c>
      <c r="F166">
        <v>2</v>
      </c>
      <c r="G166" t="s">
        <v>57</v>
      </c>
      <c r="H166" t="s">
        <v>122</v>
      </c>
      <c r="K166" t="s">
        <v>38</v>
      </c>
      <c r="L166">
        <v>1</v>
      </c>
      <c r="M166">
        <v>2</v>
      </c>
      <c r="N166">
        <v>2</v>
      </c>
      <c r="O166" t="s">
        <v>39</v>
      </c>
      <c r="P166" t="s">
        <v>96</v>
      </c>
      <c r="Q166" t="s">
        <v>153</v>
      </c>
      <c r="S166" t="s">
        <v>45</v>
      </c>
      <c r="T166">
        <v>3</v>
      </c>
      <c r="V166">
        <v>1</v>
      </c>
      <c r="W166" t="s">
        <v>140</v>
      </c>
      <c r="AA166" t="s">
        <v>63</v>
      </c>
      <c r="AB166">
        <v>1</v>
      </c>
      <c r="AD166">
        <v>1</v>
      </c>
      <c r="AE166" t="s">
        <v>103</v>
      </c>
      <c r="AF166" t="s">
        <v>95</v>
      </c>
      <c r="AG166" t="s">
        <v>147</v>
      </c>
      <c r="AH166" t="s">
        <v>151</v>
      </c>
      <c r="AI166">
        <v>0</v>
      </c>
      <c r="AJ166">
        <v>16</v>
      </c>
    </row>
    <row r="167" spans="1:36" x14ac:dyDescent="0.25">
      <c r="A167" t="s">
        <v>453</v>
      </c>
      <c r="B167">
        <v>165</v>
      </c>
      <c r="C167" t="s">
        <v>48</v>
      </c>
      <c r="D167">
        <v>3</v>
      </c>
      <c r="F167">
        <v>3</v>
      </c>
      <c r="G167" t="s">
        <v>126</v>
      </c>
      <c r="H167" t="s">
        <v>71</v>
      </c>
      <c r="I167" t="s">
        <v>127</v>
      </c>
      <c r="J167" t="s">
        <v>128</v>
      </c>
      <c r="K167" t="s">
        <v>33</v>
      </c>
      <c r="L167">
        <v>1</v>
      </c>
      <c r="N167">
        <v>3</v>
      </c>
      <c r="O167" t="s">
        <v>65</v>
      </c>
      <c r="S167" t="s">
        <v>43</v>
      </c>
      <c r="T167">
        <v>1</v>
      </c>
      <c r="V167">
        <v>1</v>
      </c>
      <c r="W167" t="s">
        <v>44</v>
      </c>
      <c r="X167" t="s">
        <v>136</v>
      </c>
      <c r="Y167" t="s">
        <v>137</v>
      </c>
      <c r="AA167" t="s">
        <v>45</v>
      </c>
      <c r="AB167">
        <v>3</v>
      </c>
      <c r="AD167">
        <v>3</v>
      </c>
      <c r="AE167" t="s">
        <v>86</v>
      </c>
      <c r="AF167" t="s">
        <v>141</v>
      </c>
      <c r="AG167" t="s">
        <v>93</v>
      </c>
      <c r="AH167" t="s">
        <v>143</v>
      </c>
      <c r="AI167">
        <v>0</v>
      </c>
      <c r="AJ167">
        <v>25</v>
      </c>
    </row>
    <row r="168" spans="1:36" x14ac:dyDescent="0.25">
      <c r="A168" t="s">
        <v>454</v>
      </c>
      <c r="B168">
        <v>166</v>
      </c>
      <c r="C168" t="s">
        <v>48</v>
      </c>
      <c r="D168">
        <v>2</v>
      </c>
      <c r="F168">
        <v>2</v>
      </c>
      <c r="G168" t="s">
        <v>89</v>
      </c>
      <c r="H168" t="s">
        <v>71</v>
      </c>
      <c r="I168" t="s">
        <v>90</v>
      </c>
      <c r="J168" t="s">
        <v>128</v>
      </c>
      <c r="K168" t="s">
        <v>33</v>
      </c>
      <c r="L168">
        <v>2</v>
      </c>
      <c r="N168">
        <v>2</v>
      </c>
      <c r="O168" t="s">
        <v>65</v>
      </c>
      <c r="S168" t="s">
        <v>43</v>
      </c>
      <c r="T168">
        <v>3</v>
      </c>
      <c r="V168">
        <v>1</v>
      </c>
      <c r="W168" t="s">
        <v>44</v>
      </c>
      <c r="X168" t="s">
        <v>74</v>
      </c>
      <c r="Y168" t="s">
        <v>100</v>
      </c>
      <c r="Z168" t="s">
        <v>138</v>
      </c>
      <c r="AA168" t="s">
        <v>63</v>
      </c>
      <c r="AB168">
        <v>1</v>
      </c>
      <c r="AD168">
        <v>1</v>
      </c>
      <c r="AE168" t="s">
        <v>145</v>
      </c>
      <c r="AF168" t="s">
        <v>146</v>
      </c>
      <c r="AI168">
        <v>0</v>
      </c>
      <c r="AJ168">
        <v>17</v>
      </c>
    </row>
    <row r="169" spans="1:36" x14ac:dyDescent="0.25">
      <c r="A169" t="s">
        <v>455</v>
      </c>
      <c r="B169">
        <v>167</v>
      </c>
      <c r="C169" t="s">
        <v>48</v>
      </c>
      <c r="D169">
        <v>2</v>
      </c>
      <c r="F169">
        <v>1</v>
      </c>
      <c r="G169" t="s">
        <v>126</v>
      </c>
      <c r="H169" t="s">
        <v>71</v>
      </c>
      <c r="I169" t="s">
        <v>90</v>
      </c>
      <c r="J169" t="s">
        <v>52</v>
      </c>
      <c r="K169" t="s">
        <v>33</v>
      </c>
      <c r="L169">
        <v>2</v>
      </c>
      <c r="N169">
        <v>3</v>
      </c>
      <c r="O169" t="s">
        <v>65</v>
      </c>
      <c r="P169" t="s">
        <v>35</v>
      </c>
      <c r="Q169" t="s">
        <v>36</v>
      </c>
      <c r="S169" t="s">
        <v>43</v>
      </c>
      <c r="T169">
        <v>3</v>
      </c>
      <c r="V169">
        <v>1</v>
      </c>
      <c r="W169" t="s">
        <v>44</v>
      </c>
      <c r="X169" t="s">
        <v>136</v>
      </c>
      <c r="AA169" t="s">
        <v>38</v>
      </c>
      <c r="AB169">
        <v>3</v>
      </c>
      <c r="AC169">
        <v>2</v>
      </c>
      <c r="AD169">
        <v>3</v>
      </c>
      <c r="AE169" t="s">
        <v>67</v>
      </c>
      <c r="AI169">
        <v>0</v>
      </c>
      <c r="AJ169">
        <v>21</v>
      </c>
    </row>
    <row r="170" spans="1:36" x14ac:dyDescent="0.25">
      <c r="A170" t="s">
        <v>456</v>
      </c>
      <c r="B170">
        <v>168</v>
      </c>
      <c r="C170" t="s">
        <v>45</v>
      </c>
      <c r="D170">
        <v>3</v>
      </c>
      <c r="F170">
        <v>1</v>
      </c>
      <c r="G170" t="s">
        <v>86</v>
      </c>
      <c r="K170" t="s">
        <v>63</v>
      </c>
      <c r="L170">
        <v>2</v>
      </c>
      <c r="N170">
        <v>1</v>
      </c>
      <c r="O170" t="s">
        <v>145</v>
      </c>
      <c r="P170" t="s">
        <v>95</v>
      </c>
      <c r="S170" t="s">
        <v>48</v>
      </c>
      <c r="T170">
        <v>1</v>
      </c>
      <c r="V170">
        <v>1</v>
      </c>
      <c r="W170" t="s">
        <v>89</v>
      </c>
      <c r="X170" t="s">
        <v>50</v>
      </c>
      <c r="AA170" t="s">
        <v>33</v>
      </c>
      <c r="AB170">
        <v>2</v>
      </c>
      <c r="AD170">
        <v>2</v>
      </c>
      <c r="AE170" t="s">
        <v>65</v>
      </c>
      <c r="AI170">
        <v>0</v>
      </c>
      <c r="AJ170">
        <v>11</v>
      </c>
    </row>
    <row r="171" spans="1:36" x14ac:dyDescent="0.25">
      <c r="A171" t="s">
        <v>457</v>
      </c>
      <c r="B171">
        <v>169</v>
      </c>
      <c r="C171" t="s">
        <v>45</v>
      </c>
      <c r="D171">
        <v>3</v>
      </c>
      <c r="F171">
        <v>2</v>
      </c>
      <c r="G171" t="s">
        <v>140</v>
      </c>
      <c r="K171" t="s">
        <v>38</v>
      </c>
      <c r="L171">
        <v>3</v>
      </c>
      <c r="M171">
        <v>1</v>
      </c>
      <c r="N171">
        <v>2</v>
      </c>
      <c r="O171" t="s">
        <v>67</v>
      </c>
      <c r="P171" t="s">
        <v>96</v>
      </c>
      <c r="S171" t="s">
        <v>48</v>
      </c>
      <c r="T171">
        <v>1</v>
      </c>
      <c r="V171">
        <v>1</v>
      </c>
      <c r="W171" t="s">
        <v>126</v>
      </c>
      <c r="X171" t="s">
        <v>84</v>
      </c>
      <c r="Y171" t="s">
        <v>90</v>
      </c>
      <c r="AA171" t="s">
        <v>33</v>
      </c>
      <c r="AB171">
        <v>2</v>
      </c>
      <c r="AD171">
        <v>3</v>
      </c>
      <c r="AE171" t="s">
        <v>65</v>
      </c>
      <c r="AF171" t="s">
        <v>66</v>
      </c>
      <c r="AI171">
        <v>0</v>
      </c>
      <c r="AJ171">
        <v>18</v>
      </c>
    </row>
    <row r="172" spans="1:36" x14ac:dyDescent="0.25">
      <c r="A172" t="s">
        <v>458</v>
      </c>
      <c r="B172">
        <v>170</v>
      </c>
      <c r="C172" t="s">
        <v>48</v>
      </c>
      <c r="D172">
        <v>2</v>
      </c>
      <c r="F172">
        <v>1</v>
      </c>
      <c r="G172" t="s">
        <v>49</v>
      </c>
      <c r="H172" t="s">
        <v>84</v>
      </c>
      <c r="I172" t="s">
        <v>127</v>
      </c>
      <c r="J172" t="s">
        <v>129</v>
      </c>
      <c r="K172" t="s">
        <v>33</v>
      </c>
      <c r="L172">
        <v>2</v>
      </c>
      <c r="N172">
        <v>3</v>
      </c>
      <c r="O172" t="s">
        <v>65</v>
      </c>
      <c r="P172" t="s">
        <v>66</v>
      </c>
      <c r="Q172" t="s">
        <v>36</v>
      </c>
      <c r="S172" t="s">
        <v>63</v>
      </c>
      <c r="T172">
        <v>1</v>
      </c>
      <c r="V172">
        <v>2</v>
      </c>
      <c r="W172" t="s">
        <v>145</v>
      </c>
      <c r="X172" t="s">
        <v>95</v>
      </c>
      <c r="Y172" t="s">
        <v>147</v>
      </c>
      <c r="Z172" t="s">
        <v>150</v>
      </c>
      <c r="AA172" t="s">
        <v>38</v>
      </c>
      <c r="AB172">
        <v>3</v>
      </c>
      <c r="AC172">
        <v>1</v>
      </c>
      <c r="AD172">
        <v>2</v>
      </c>
      <c r="AE172" t="s">
        <v>67</v>
      </c>
      <c r="AF172" t="s">
        <v>96</v>
      </c>
      <c r="AG172" t="s">
        <v>41</v>
      </c>
      <c r="AI172">
        <v>0</v>
      </c>
      <c r="AJ172">
        <v>22</v>
      </c>
    </row>
    <row r="173" spans="1:36" x14ac:dyDescent="0.25">
      <c r="A173" t="s">
        <v>459</v>
      </c>
      <c r="B173">
        <v>171</v>
      </c>
      <c r="C173" t="s">
        <v>33</v>
      </c>
      <c r="D173">
        <v>2</v>
      </c>
      <c r="F173">
        <v>1</v>
      </c>
      <c r="G173" t="s">
        <v>65</v>
      </c>
      <c r="H173" t="s">
        <v>130</v>
      </c>
      <c r="I173" t="s">
        <v>36</v>
      </c>
      <c r="J173" t="s">
        <v>134</v>
      </c>
      <c r="K173" t="s">
        <v>45</v>
      </c>
      <c r="L173">
        <v>2</v>
      </c>
      <c r="N173">
        <v>1</v>
      </c>
      <c r="O173" t="s">
        <v>86</v>
      </c>
      <c r="P173" t="s">
        <v>141</v>
      </c>
      <c r="S173" t="s">
        <v>48</v>
      </c>
      <c r="T173">
        <v>2</v>
      </c>
      <c r="V173">
        <v>1</v>
      </c>
      <c r="W173" t="s">
        <v>126</v>
      </c>
      <c r="X173" t="s">
        <v>84</v>
      </c>
      <c r="Y173" t="s">
        <v>51</v>
      </c>
      <c r="Z173" t="s">
        <v>128</v>
      </c>
      <c r="AA173" t="s">
        <v>43</v>
      </c>
      <c r="AB173">
        <v>1</v>
      </c>
      <c r="AD173">
        <v>1</v>
      </c>
      <c r="AE173" t="s">
        <v>44</v>
      </c>
      <c r="AF173" t="s">
        <v>136</v>
      </c>
      <c r="AG173" t="s">
        <v>75</v>
      </c>
      <c r="AI173">
        <v>0</v>
      </c>
      <c r="AJ173">
        <v>16</v>
      </c>
    </row>
    <row r="174" spans="1:36" x14ac:dyDescent="0.25">
      <c r="A174" t="s">
        <v>460</v>
      </c>
      <c r="B174">
        <v>172</v>
      </c>
      <c r="C174" t="s">
        <v>33</v>
      </c>
      <c r="D174">
        <v>1</v>
      </c>
      <c r="F174">
        <v>1</v>
      </c>
      <c r="G174" t="s">
        <v>65</v>
      </c>
      <c r="H174" t="s">
        <v>130</v>
      </c>
      <c r="I174" t="s">
        <v>36</v>
      </c>
      <c r="J174" t="s">
        <v>134</v>
      </c>
      <c r="K174" t="s">
        <v>63</v>
      </c>
      <c r="L174">
        <v>1</v>
      </c>
      <c r="N174">
        <v>1</v>
      </c>
      <c r="O174" t="s">
        <v>103</v>
      </c>
      <c r="P174" t="s">
        <v>95</v>
      </c>
      <c r="Q174" t="s">
        <v>148</v>
      </c>
      <c r="S174" t="s">
        <v>48</v>
      </c>
      <c r="T174">
        <v>2</v>
      </c>
      <c r="V174">
        <v>1</v>
      </c>
      <c r="W174" t="s">
        <v>126</v>
      </c>
      <c r="X174" t="s">
        <v>84</v>
      </c>
      <c r="Y174" t="s">
        <v>127</v>
      </c>
      <c r="AA174" t="s">
        <v>43</v>
      </c>
      <c r="AB174">
        <v>2</v>
      </c>
      <c r="AD174">
        <v>1</v>
      </c>
      <c r="AE174" t="s">
        <v>44</v>
      </c>
      <c r="AI174">
        <v>0</v>
      </c>
      <c r="AJ174">
        <v>14</v>
      </c>
    </row>
    <row r="175" spans="1:36" x14ac:dyDescent="0.25">
      <c r="A175" t="s">
        <v>461</v>
      </c>
      <c r="B175">
        <v>173</v>
      </c>
      <c r="C175" t="s">
        <v>33</v>
      </c>
      <c r="D175">
        <v>2</v>
      </c>
      <c r="F175">
        <v>1</v>
      </c>
      <c r="G175" t="s">
        <v>65</v>
      </c>
      <c r="H175" t="s">
        <v>130</v>
      </c>
      <c r="I175" t="s">
        <v>36</v>
      </c>
      <c r="J175" t="s">
        <v>134</v>
      </c>
      <c r="K175" t="s">
        <v>38</v>
      </c>
      <c r="L175">
        <v>1</v>
      </c>
      <c r="M175">
        <v>2</v>
      </c>
      <c r="N175">
        <v>2</v>
      </c>
      <c r="O175" t="s">
        <v>67</v>
      </c>
      <c r="S175" t="s">
        <v>48</v>
      </c>
      <c r="T175">
        <v>1</v>
      </c>
      <c r="V175">
        <v>1</v>
      </c>
      <c r="W175" t="s">
        <v>126</v>
      </c>
      <c r="X175" t="s">
        <v>84</v>
      </c>
      <c r="AA175" t="s">
        <v>43</v>
      </c>
      <c r="AB175">
        <v>3</v>
      </c>
      <c r="AD175">
        <v>1</v>
      </c>
      <c r="AE175" t="s">
        <v>44</v>
      </c>
      <c r="AF175" t="s">
        <v>136</v>
      </c>
      <c r="AI175">
        <v>0</v>
      </c>
      <c r="AJ175">
        <v>14</v>
      </c>
    </row>
    <row r="176" spans="1:36" x14ac:dyDescent="0.25">
      <c r="A176" t="s">
        <v>462</v>
      </c>
      <c r="B176">
        <v>174</v>
      </c>
      <c r="C176" t="s">
        <v>48</v>
      </c>
      <c r="D176">
        <v>2</v>
      </c>
      <c r="F176">
        <v>1</v>
      </c>
      <c r="G176" t="s">
        <v>89</v>
      </c>
      <c r="H176" t="s">
        <v>84</v>
      </c>
      <c r="I176" t="s">
        <v>51</v>
      </c>
      <c r="K176" t="s">
        <v>43</v>
      </c>
      <c r="L176">
        <v>3</v>
      </c>
      <c r="N176">
        <v>1</v>
      </c>
      <c r="O176" t="s">
        <v>44</v>
      </c>
      <c r="P176" t="s">
        <v>136</v>
      </c>
      <c r="Q176" t="s">
        <v>137</v>
      </c>
      <c r="R176" t="s">
        <v>139</v>
      </c>
      <c r="S176" t="s">
        <v>45</v>
      </c>
      <c r="T176">
        <v>3</v>
      </c>
      <c r="V176">
        <v>1</v>
      </c>
      <c r="W176" t="s">
        <v>86</v>
      </c>
      <c r="AA176" t="s">
        <v>63</v>
      </c>
      <c r="AB176">
        <v>1</v>
      </c>
      <c r="AD176">
        <v>1</v>
      </c>
      <c r="AE176" t="s">
        <v>145</v>
      </c>
      <c r="AF176" t="s">
        <v>95</v>
      </c>
      <c r="AG176" t="s">
        <v>104</v>
      </c>
      <c r="AH176" t="s">
        <v>149</v>
      </c>
      <c r="AI176">
        <v>0</v>
      </c>
      <c r="AJ176">
        <v>19</v>
      </c>
    </row>
    <row r="177" spans="1:36" x14ac:dyDescent="0.25">
      <c r="A177" s="36" t="s">
        <v>463</v>
      </c>
      <c r="B177">
        <v>175</v>
      </c>
      <c r="C177" t="s">
        <v>45</v>
      </c>
      <c r="D177">
        <v>3</v>
      </c>
      <c r="F177">
        <v>1</v>
      </c>
      <c r="G177" t="s">
        <v>86</v>
      </c>
      <c r="H177" t="s">
        <v>141</v>
      </c>
      <c r="I177" t="s">
        <v>93</v>
      </c>
      <c r="J177" t="s">
        <v>94</v>
      </c>
      <c r="K177" t="s">
        <v>38</v>
      </c>
      <c r="L177">
        <v>1</v>
      </c>
      <c r="M177">
        <v>1</v>
      </c>
      <c r="N177">
        <v>2</v>
      </c>
      <c r="O177" t="s">
        <v>39</v>
      </c>
      <c r="P177" t="s">
        <v>40</v>
      </c>
      <c r="Q177" t="s">
        <v>153</v>
      </c>
      <c r="S177" t="s">
        <v>48</v>
      </c>
      <c r="T177">
        <v>1</v>
      </c>
      <c r="V177">
        <v>3</v>
      </c>
      <c r="W177" t="s">
        <v>126</v>
      </c>
      <c r="X177" t="s">
        <v>71</v>
      </c>
      <c r="Y177" t="s">
        <v>127</v>
      </c>
      <c r="AA177" t="s">
        <v>43</v>
      </c>
      <c r="AB177">
        <v>1</v>
      </c>
      <c r="AD177">
        <v>1</v>
      </c>
      <c r="AE177" t="s">
        <v>44</v>
      </c>
      <c r="AF177" t="s">
        <v>136</v>
      </c>
      <c r="AI177">
        <v>0</v>
      </c>
      <c r="AJ177">
        <v>17</v>
      </c>
    </row>
    <row r="178" spans="1:36" x14ac:dyDescent="0.25">
      <c r="A178" t="s">
        <v>464</v>
      </c>
      <c r="B178">
        <v>176</v>
      </c>
      <c r="C178" t="s">
        <v>48</v>
      </c>
      <c r="D178">
        <v>3</v>
      </c>
      <c r="F178">
        <v>3</v>
      </c>
      <c r="G178" t="s">
        <v>49</v>
      </c>
      <c r="H178" t="s">
        <v>71</v>
      </c>
      <c r="I178" t="s">
        <v>127</v>
      </c>
      <c r="J178" t="s">
        <v>52</v>
      </c>
      <c r="K178" t="s">
        <v>43</v>
      </c>
      <c r="L178">
        <v>1</v>
      </c>
      <c r="N178">
        <v>1</v>
      </c>
      <c r="O178" t="s">
        <v>44</v>
      </c>
      <c r="P178" t="s">
        <v>136</v>
      </c>
      <c r="Q178" t="s">
        <v>137</v>
      </c>
      <c r="S178" t="s">
        <v>63</v>
      </c>
      <c r="T178">
        <v>3</v>
      </c>
      <c r="V178">
        <v>3</v>
      </c>
      <c r="W178" t="s">
        <v>145</v>
      </c>
      <c r="X178" t="s">
        <v>91</v>
      </c>
      <c r="Y178" t="s">
        <v>104</v>
      </c>
      <c r="Z178" t="s">
        <v>149</v>
      </c>
      <c r="AA178" t="s">
        <v>38</v>
      </c>
      <c r="AB178">
        <v>2</v>
      </c>
      <c r="AC178">
        <v>1</v>
      </c>
      <c r="AD178">
        <v>2</v>
      </c>
      <c r="AE178" t="s">
        <v>67</v>
      </c>
      <c r="AI178">
        <v>0</v>
      </c>
      <c r="AJ178">
        <v>30</v>
      </c>
    </row>
    <row r="179" spans="1:36" x14ac:dyDescent="0.25">
      <c r="A179" t="s">
        <v>465</v>
      </c>
      <c r="B179">
        <v>177</v>
      </c>
      <c r="C179" t="s">
        <v>33</v>
      </c>
      <c r="D179">
        <v>3</v>
      </c>
      <c r="F179">
        <v>1</v>
      </c>
      <c r="G179" t="s">
        <v>65</v>
      </c>
      <c r="H179" t="s">
        <v>130</v>
      </c>
      <c r="I179" t="s">
        <v>36</v>
      </c>
      <c r="J179" t="s">
        <v>134</v>
      </c>
      <c r="K179" t="s">
        <v>43</v>
      </c>
      <c r="L179">
        <v>2</v>
      </c>
      <c r="N179">
        <v>1</v>
      </c>
      <c r="O179" t="s">
        <v>135</v>
      </c>
      <c r="P179" t="s">
        <v>136</v>
      </c>
      <c r="S179" t="s">
        <v>48</v>
      </c>
      <c r="T179">
        <v>3</v>
      </c>
      <c r="V179">
        <v>1</v>
      </c>
      <c r="W179" t="s">
        <v>126</v>
      </c>
      <c r="X179" t="s">
        <v>84</v>
      </c>
      <c r="Y179" t="s">
        <v>51</v>
      </c>
      <c r="Z179" t="s">
        <v>128</v>
      </c>
      <c r="AA179" t="s">
        <v>45</v>
      </c>
      <c r="AB179">
        <v>3</v>
      </c>
      <c r="AD179">
        <v>1</v>
      </c>
      <c r="AE179" t="s">
        <v>140</v>
      </c>
      <c r="AI179">
        <v>0</v>
      </c>
      <c r="AJ179">
        <v>18</v>
      </c>
    </row>
    <row r="180" spans="1:36" x14ac:dyDescent="0.25">
      <c r="A180" t="s">
        <v>466</v>
      </c>
      <c r="B180">
        <v>178</v>
      </c>
      <c r="C180" t="s">
        <v>33</v>
      </c>
      <c r="D180">
        <v>1</v>
      </c>
      <c r="F180">
        <v>2</v>
      </c>
      <c r="G180" t="s">
        <v>65</v>
      </c>
      <c r="H180" t="s">
        <v>130</v>
      </c>
      <c r="I180" t="s">
        <v>36</v>
      </c>
      <c r="K180" t="s">
        <v>63</v>
      </c>
      <c r="L180">
        <v>1</v>
      </c>
      <c r="N180">
        <v>1</v>
      </c>
      <c r="O180" t="s">
        <v>145</v>
      </c>
      <c r="P180" t="s">
        <v>95</v>
      </c>
      <c r="Q180" t="s">
        <v>148</v>
      </c>
      <c r="S180" t="s">
        <v>48</v>
      </c>
      <c r="T180">
        <v>1</v>
      </c>
      <c r="V180">
        <v>1</v>
      </c>
      <c r="W180" t="s">
        <v>126</v>
      </c>
      <c r="X180" t="s">
        <v>84</v>
      </c>
      <c r="AA180" t="s">
        <v>45</v>
      </c>
      <c r="AB180">
        <v>3</v>
      </c>
      <c r="AD180">
        <v>1</v>
      </c>
      <c r="AE180" t="s">
        <v>86</v>
      </c>
      <c r="AF180" t="s">
        <v>76</v>
      </c>
      <c r="AI180">
        <v>0</v>
      </c>
      <c r="AJ180">
        <v>14</v>
      </c>
    </row>
    <row r="181" spans="1:36" x14ac:dyDescent="0.25">
      <c r="A181" t="s">
        <v>467</v>
      </c>
      <c r="B181">
        <v>179</v>
      </c>
      <c r="C181" t="s">
        <v>33</v>
      </c>
      <c r="D181">
        <v>2</v>
      </c>
      <c r="F181">
        <v>1</v>
      </c>
      <c r="G181" t="s">
        <v>65</v>
      </c>
      <c r="H181" t="s">
        <v>130</v>
      </c>
      <c r="I181" t="s">
        <v>36</v>
      </c>
      <c r="J181" t="s">
        <v>134</v>
      </c>
      <c r="K181" t="s">
        <v>38</v>
      </c>
      <c r="L181">
        <v>3</v>
      </c>
      <c r="M181">
        <v>2</v>
      </c>
      <c r="N181">
        <v>1</v>
      </c>
      <c r="O181" t="s">
        <v>152</v>
      </c>
      <c r="P181" t="s">
        <v>96</v>
      </c>
      <c r="S181" t="s">
        <v>48</v>
      </c>
      <c r="T181">
        <v>3</v>
      </c>
      <c r="V181">
        <v>1</v>
      </c>
      <c r="W181" t="s">
        <v>126</v>
      </c>
      <c r="X181" t="s">
        <v>84</v>
      </c>
      <c r="Y181" t="s">
        <v>127</v>
      </c>
      <c r="AA181" t="s">
        <v>45</v>
      </c>
      <c r="AB181">
        <v>2</v>
      </c>
      <c r="AD181">
        <v>1</v>
      </c>
      <c r="AE181" t="s">
        <v>140</v>
      </c>
      <c r="AI181">
        <v>0</v>
      </c>
      <c r="AJ181">
        <v>18</v>
      </c>
    </row>
    <row r="182" spans="1:36" x14ac:dyDescent="0.25">
      <c r="A182" t="s">
        <v>468</v>
      </c>
      <c r="B182">
        <v>180</v>
      </c>
      <c r="C182" t="s">
        <v>48</v>
      </c>
      <c r="D182">
        <v>2</v>
      </c>
      <c r="F182">
        <v>1</v>
      </c>
      <c r="G182" t="s">
        <v>89</v>
      </c>
      <c r="H182" t="s">
        <v>71</v>
      </c>
      <c r="K182" t="s">
        <v>45</v>
      </c>
      <c r="L182">
        <v>3</v>
      </c>
      <c r="N182">
        <v>1</v>
      </c>
      <c r="O182" t="s">
        <v>86</v>
      </c>
      <c r="S182" t="s">
        <v>43</v>
      </c>
      <c r="T182">
        <v>2</v>
      </c>
      <c r="V182">
        <v>1</v>
      </c>
      <c r="W182" t="s">
        <v>44</v>
      </c>
      <c r="AA182" t="s">
        <v>63</v>
      </c>
      <c r="AB182">
        <v>2</v>
      </c>
      <c r="AD182">
        <v>1</v>
      </c>
      <c r="AE182" t="s">
        <v>145</v>
      </c>
      <c r="AF182" t="s">
        <v>95</v>
      </c>
      <c r="AI182">
        <v>0</v>
      </c>
      <c r="AJ182">
        <v>12</v>
      </c>
    </row>
    <row r="183" spans="1:36" x14ac:dyDescent="0.25">
      <c r="A183" t="s">
        <v>469</v>
      </c>
      <c r="B183">
        <v>181</v>
      </c>
      <c r="C183" t="s">
        <v>43</v>
      </c>
      <c r="D183">
        <v>3</v>
      </c>
      <c r="F183">
        <v>3</v>
      </c>
      <c r="G183" t="s">
        <v>44</v>
      </c>
      <c r="H183" t="s">
        <v>136</v>
      </c>
      <c r="I183" t="s">
        <v>75</v>
      </c>
      <c r="J183" t="s">
        <v>138</v>
      </c>
      <c r="K183" t="s">
        <v>38</v>
      </c>
      <c r="L183">
        <v>3</v>
      </c>
      <c r="M183">
        <v>2</v>
      </c>
      <c r="N183">
        <v>3</v>
      </c>
      <c r="O183" t="s">
        <v>39</v>
      </c>
      <c r="P183" t="s">
        <v>96</v>
      </c>
      <c r="Q183" t="s">
        <v>41</v>
      </c>
      <c r="R183" t="s">
        <v>156</v>
      </c>
      <c r="S183" t="s">
        <v>48</v>
      </c>
      <c r="T183">
        <v>3</v>
      </c>
      <c r="V183">
        <v>3</v>
      </c>
      <c r="W183" t="s">
        <v>89</v>
      </c>
      <c r="X183" t="s">
        <v>84</v>
      </c>
      <c r="Y183" t="s">
        <v>90</v>
      </c>
      <c r="Z183" t="s">
        <v>52</v>
      </c>
      <c r="AA183" t="s">
        <v>45</v>
      </c>
      <c r="AB183">
        <v>2</v>
      </c>
      <c r="AD183">
        <v>2</v>
      </c>
      <c r="AE183" t="s">
        <v>140</v>
      </c>
      <c r="AI183">
        <v>0</v>
      </c>
      <c r="AJ183">
        <v>29</v>
      </c>
    </row>
    <row r="184" spans="1:36" x14ac:dyDescent="0.25">
      <c r="A184" t="s">
        <v>470</v>
      </c>
      <c r="B184">
        <v>182</v>
      </c>
      <c r="C184" t="s">
        <v>48</v>
      </c>
      <c r="D184">
        <v>2</v>
      </c>
      <c r="F184">
        <v>2</v>
      </c>
      <c r="G184" t="s">
        <v>89</v>
      </c>
      <c r="H184" t="s">
        <v>71</v>
      </c>
      <c r="I184" t="s">
        <v>127</v>
      </c>
      <c r="J184" t="s">
        <v>52</v>
      </c>
      <c r="K184" t="s">
        <v>45</v>
      </c>
      <c r="L184">
        <v>3</v>
      </c>
      <c r="N184">
        <v>1</v>
      </c>
      <c r="O184" t="s">
        <v>86</v>
      </c>
      <c r="P184" t="s">
        <v>141</v>
      </c>
      <c r="Q184" t="s">
        <v>93</v>
      </c>
      <c r="R184" t="s">
        <v>94</v>
      </c>
      <c r="S184" t="s">
        <v>63</v>
      </c>
      <c r="T184">
        <v>2</v>
      </c>
      <c r="V184">
        <v>2</v>
      </c>
      <c r="W184" t="s">
        <v>145</v>
      </c>
      <c r="X184" t="s">
        <v>146</v>
      </c>
      <c r="Y184" t="s">
        <v>147</v>
      </c>
      <c r="AA184" t="s">
        <v>38</v>
      </c>
      <c r="AB184">
        <v>2</v>
      </c>
      <c r="AC184">
        <v>1</v>
      </c>
      <c r="AD184">
        <v>2</v>
      </c>
      <c r="AE184" t="s">
        <v>39</v>
      </c>
      <c r="AI184">
        <v>0</v>
      </c>
      <c r="AJ184">
        <v>20</v>
      </c>
    </row>
    <row r="185" spans="1:36" x14ac:dyDescent="0.25">
      <c r="A185" t="s">
        <v>471</v>
      </c>
      <c r="B185">
        <v>183</v>
      </c>
      <c r="C185" t="s">
        <v>33</v>
      </c>
      <c r="D185">
        <v>3</v>
      </c>
      <c r="F185">
        <v>2</v>
      </c>
      <c r="G185" t="s">
        <v>65</v>
      </c>
      <c r="H185" t="s">
        <v>35</v>
      </c>
      <c r="I185" t="s">
        <v>36</v>
      </c>
      <c r="K185" t="s">
        <v>43</v>
      </c>
      <c r="L185">
        <v>3</v>
      </c>
      <c r="N185">
        <v>2</v>
      </c>
      <c r="O185" t="s">
        <v>44</v>
      </c>
      <c r="P185" t="s">
        <v>99</v>
      </c>
      <c r="S185" t="s">
        <v>48</v>
      </c>
      <c r="T185">
        <v>3</v>
      </c>
      <c r="V185">
        <v>1</v>
      </c>
      <c r="W185" t="s">
        <v>89</v>
      </c>
      <c r="AA185" t="s">
        <v>63</v>
      </c>
      <c r="AB185">
        <v>2</v>
      </c>
      <c r="AD185">
        <v>2</v>
      </c>
      <c r="AE185" t="s">
        <v>145</v>
      </c>
      <c r="AF185" t="s">
        <v>146</v>
      </c>
      <c r="AG185" t="s">
        <v>104</v>
      </c>
      <c r="AI185">
        <v>0</v>
      </c>
      <c r="AJ185">
        <v>19</v>
      </c>
    </row>
    <row r="186" spans="1:36" x14ac:dyDescent="0.25">
      <c r="A186" t="s">
        <v>472</v>
      </c>
      <c r="B186">
        <v>184</v>
      </c>
      <c r="C186" t="s">
        <v>33</v>
      </c>
      <c r="D186">
        <v>2</v>
      </c>
      <c r="F186">
        <v>1</v>
      </c>
      <c r="G186" t="s">
        <v>65</v>
      </c>
      <c r="H186" t="s">
        <v>130</v>
      </c>
      <c r="I186" t="s">
        <v>36</v>
      </c>
      <c r="J186" t="s">
        <v>134</v>
      </c>
      <c r="K186" t="s">
        <v>45</v>
      </c>
      <c r="L186">
        <v>3</v>
      </c>
      <c r="N186">
        <v>1</v>
      </c>
      <c r="O186" t="s">
        <v>47</v>
      </c>
      <c r="P186" t="s">
        <v>141</v>
      </c>
      <c r="Q186" t="s">
        <v>93</v>
      </c>
      <c r="S186" t="s">
        <v>48</v>
      </c>
      <c r="T186">
        <v>1</v>
      </c>
      <c r="V186">
        <v>2</v>
      </c>
      <c r="W186" t="s">
        <v>126</v>
      </c>
      <c r="AA186" t="s">
        <v>63</v>
      </c>
      <c r="AB186">
        <v>2</v>
      </c>
      <c r="AD186">
        <v>1</v>
      </c>
      <c r="AE186" t="s">
        <v>72</v>
      </c>
      <c r="AF186" t="s">
        <v>146</v>
      </c>
      <c r="AG186" t="s">
        <v>104</v>
      </c>
      <c r="AI186">
        <v>0</v>
      </c>
      <c r="AJ186">
        <v>16</v>
      </c>
    </row>
    <row r="187" spans="1:36" x14ac:dyDescent="0.25">
      <c r="A187" t="s">
        <v>473</v>
      </c>
      <c r="B187">
        <v>185</v>
      </c>
      <c r="C187" t="s">
        <v>33</v>
      </c>
      <c r="D187">
        <v>3</v>
      </c>
      <c r="F187">
        <v>1</v>
      </c>
      <c r="G187" t="s">
        <v>65</v>
      </c>
      <c r="H187" t="s">
        <v>130</v>
      </c>
      <c r="I187" t="s">
        <v>36</v>
      </c>
      <c r="J187" t="s">
        <v>134</v>
      </c>
      <c r="K187" t="s">
        <v>38</v>
      </c>
      <c r="L187">
        <v>3</v>
      </c>
      <c r="M187">
        <v>1</v>
      </c>
      <c r="N187">
        <v>3</v>
      </c>
      <c r="O187" t="s">
        <v>67</v>
      </c>
      <c r="P187" t="s">
        <v>96</v>
      </c>
      <c r="S187" t="s">
        <v>48</v>
      </c>
      <c r="T187">
        <v>1</v>
      </c>
      <c r="V187">
        <v>1</v>
      </c>
      <c r="W187" t="s">
        <v>126</v>
      </c>
      <c r="X187" t="s">
        <v>84</v>
      </c>
      <c r="Y187" t="s">
        <v>127</v>
      </c>
      <c r="Z187" t="s">
        <v>129</v>
      </c>
      <c r="AA187" t="s">
        <v>63</v>
      </c>
      <c r="AB187">
        <v>3</v>
      </c>
      <c r="AD187">
        <v>1</v>
      </c>
      <c r="AE187" t="s">
        <v>72</v>
      </c>
      <c r="AF187" t="s">
        <v>146</v>
      </c>
      <c r="AG187" t="s">
        <v>147</v>
      </c>
      <c r="AI187">
        <v>0</v>
      </c>
      <c r="AJ187">
        <v>21</v>
      </c>
    </row>
    <row r="188" spans="1:36" x14ac:dyDescent="0.25">
      <c r="A188" t="s">
        <v>474</v>
      </c>
      <c r="B188">
        <v>186</v>
      </c>
      <c r="C188" t="s">
        <v>48</v>
      </c>
      <c r="D188">
        <v>1</v>
      </c>
      <c r="F188">
        <v>2</v>
      </c>
      <c r="G188" t="s">
        <v>126</v>
      </c>
      <c r="K188" t="s">
        <v>63</v>
      </c>
      <c r="L188">
        <v>3</v>
      </c>
      <c r="N188">
        <v>3</v>
      </c>
      <c r="O188" t="s">
        <v>72</v>
      </c>
      <c r="P188" t="s">
        <v>146</v>
      </c>
      <c r="Q188" t="s">
        <v>104</v>
      </c>
      <c r="R188" t="s">
        <v>150</v>
      </c>
      <c r="S188" t="s">
        <v>43</v>
      </c>
      <c r="T188">
        <v>3</v>
      </c>
      <c r="V188">
        <v>2</v>
      </c>
      <c r="W188" t="s">
        <v>44</v>
      </c>
      <c r="X188" t="s">
        <v>99</v>
      </c>
      <c r="Y188" t="s">
        <v>75</v>
      </c>
      <c r="AA188" t="s">
        <v>45</v>
      </c>
      <c r="AB188">
        <v>3</v>
      </c>
      <c r="AD188">
        <v>3</v>
      </c>
      <c r="AE188" t="s">
        <v>86</v>
      </c>
      <c r="AF188" t="s">
        <v>141</v>
      </c>
      <c r="AG188" t="s">
        <v>93</v>
      </c>
      <c r="AH188" t="s">
        <v>94</v>
      </c>
      <c r="AI188">
        <v>0</v>
      </c>
      <c r="AJ188">
        <v>30</v>
      </c>
    </row>
    <row r="189" spans="1:36" x14ac:dyDescent="0.25">
      <c r="A189" t="s">
        <v>475</v>
      </c>
      <c r="B189">
        <v>187</v>
      </c>
      <c r="C189" t="s">
        <v>43</v>
      </c>
      <c r="D189">
        <v>3</v>
      </c>
      <c r="F189">
        <v>1</v>
      </c>
      <c r="G189" t="s">
        <v>44</v>
      </c>
      <c r="H189" t="s">
        <v>136</v>
      </c>
      <c r="K189" t="s">
        <v>38</v>
      </c>
      <c r="L189">
        <v>3</v>
      </c>
      <c r="M189">
        <v>1</v>
      </c>
      <c r="N189">
        <v>1</v>
      </c>
      <c r="O189" t="s">
        <v>67</v>
      </c>
      <c r="P189" t="s">
        <v>96</v>
      </c>
      <c r="S189" t="s">
        <v>48</v>
      </c>
      <c r="T189">
        <v>1</v>
      </c>
      <c r="V189">
        <v>1</v>
      </c>
      <c r="W189" t="s">
        <v>89</v>
      </c>
      <c r="X189" t="s">
        <v>50</v>
      </c>
      <c r="AA189" t="s">
        <v>63</v>
      </c>
      <c r="AB189">
        <v>2</v>
      </c>
      <c r="AD189">
        <v>1</v>
      </c>
      <c r="AE189" t="s">
        <v>72</v>
      </c>
      <c r="AF189" t="s">
        <v>146</v>
      </c>
      <c r="AG189" t="s">
        <v>148</v>
      </c>
      <c r="AI189">
        <v>0</v>
      </c>
      <c r="AJ189">
        <v>15</v>
      </c>
    </row>
    <row r="190" spans="1:36" x14ac:dyDescent="0.25">
      <c r="A190" t="s">
        <v>476</v>
      </c>
      <c r="B190">
        <v>188</v>
      </c>
      <c r="C190" t="s">
        <v>45</v>
      </c>
      <c r="D190">
        <v>3</v>
      </c>
      <c r="F190">
        <v>1</v>
      </c>
      <c r="G190" t="s">
        <v>86</v>
      </c>
      <c r="H190" t="s">
        <v>141</v>
      </c>
      <c r="I190" t="s">
        <v>93</v>
      </c>
      <c r="K190" t="s">
        <v>38</v>
      </c>
      <c r="L190">
        <v>3</v>
      </c>
      <c r="M190">
        <v>2</v>
      </c>
      <c r="N190">
        <v>1</v>
      </c>
      <c r="O190" t="s">
        <v>152</v>
      </c>
      <c r="P190" t="s">
        <v>40</v>
      </c>
      <c r="S190" t="s">
        <v>48</v>
      </c>
      <c r="T190">
        <v>1</v>
      </c>
      <c r="V190">
        <v>1</v>
      </c>
      <c r="W190" t="s">
        <v>126</v>
      </c>
      <c r="X190" t="s">
        <v>84</v>
      </c>
      <c r="AA190" t="s">
        <v>63</v>
      </c>
      <c r="AB190">
        <v>2</v>
      </c>
      <c r="AD190">
        <v>1</v>
      </c>
      <c r="AE190" t="s">
        <v>72</v>
      </c>
      <c r="AF190" t="s">
        <v>146</v>
      </c>
      <c r="AG190" t="s">
        <v>104</v>
      </c>
      <c r="AI190">
        <v>0</v>
      </c>
      <c r="AJ190">
        <v>16</v>
      </c>
    </row>
    <row r="191" spans="1:36" x14ac:dyDescent="0.25">
      <c r="A191" t="s">
        <v>477</v>
      </c>
      <c r="B191">
        <v>189</v>
      </c>
      <c r="C191" t="s">
        <v>33</v>
      </c>
      <c r="D191">
        <v>1</v>
      </c>
      <c r="F191">
        <v>1</v>
      </c>
      <c r="G191" t="s">
        <v>65</v>
      </c>
      <c r="H191" t="s">
        <v>130</v>
      </c>
      <c r="I191" t="s">
        <v>36</v>
      </c>
      <c r="J191" t="s">
        <v>134</v>
      </c>
      <c r="K191" t="s">
        <v>43</v>
      </c>
      <c r="L191">
        <v>2</v>
      </c>
      <c r="N191">
        <v>1</v>
      </c>
      <c r="O191" t="s">
        <v>135</v>
      </c>
      <c r="P191" t="s">
        <v>99</v>
      </c>
      <c r="S191" t="s">
        <v>48</v>
      </c>
      <c r="T191">
        <v>1</v>
      </c>
      <c r="V191">
        <v>1</v>
      </c>
      <c r="W191" t="s">
        <v>126</v>
      </c>
      <c r="X191" t="s">
        <v>84</v>
      </c>
      <c r="AA191" t="s">
        <v>38</v>
      </c>
      <c r="AB191">
        <v>3</v>
      </c>
      <c r="AC191">
        <v>1</v>
      </c>
      <c r="AD191">
        <v>2</v>
      </c>
      <c r="AE191" t="s">
        <v>67</v>
      </c>
      <c r="AI191">
        <v>0</v>
      </c>
      <c r="AJ191">
        <v>13</v>
      </c>
    </row>
    <row r="192" spans="1:36" x14ac:dyDescent="0.25">
      <c r="A192" t="s">
        <v>478</v>
      </c>
      <c r="B192">
        <v>190</v>
      </c>
      <c r="C192" t="s">
        <v>33</v>
      </c>
      <c r="D192">
        <v>1</v>
      </c>
      <c r="F192">
        <v>1</v>
      </c>
      <c r="G192" t="s">
        <v>65</v>
      </c>
      <c r="H192" t="s">
        <v>130</v>
      </c>
      <c r="I192" t="s">
        <v>36</v>
      </c>
      <c r="K192" t="s">
        <v>45</v>
      </c>
      <c r="L192">
        <v>3</v>
      </c>
      <c r="N192">
        <v>2</v>
      </c>
      <c r="O192" t="s">
        <v>86</v>
      </c>
      <c r="S192" t="s">
        <v>48</v>
      </c>
      <c r="T192">
        <v>1</v>
      </c>
      <c r="V192">
        <v>1</v>
      </c>
      <c r="W192" t="s">
        <v>126</v>
      </c>
      <c r="X192" t="s">
        <v>50</v>
      </c>
      <c r="AA192" t="s">
        <v>38</v>
      </c>
      <c r="AB192">
        <v>3</v>
      </c>
      <c r="AC192">
        <v>1</v>
      </c>
      <c r="AD192">
        <v>2</v>
      </c>
      <c r="AE192" t="s">
        <v>67</v>
      </c>
      <c r="AI192">
        <v>0</v>
      </c>
      <c r="AJ192">
        <v>13</v>
      </c>
    </row>
    <row r="193" spans="1:36" x14ac:dyDescent="0.25">
      <c r="A193" t="s">
        <v>479</v>
      </c>
      <c r="B193">
        <v>191</v>
      </c>
      <c r="C193" t="s">
        <v>33</v>
      </c>
      <c r="D193">
        <v>1</v>
      </c>
      <c r="F193">
        <v>2</v>
      </c>
      <c r="G193" t="s">
        <v>65</v>
      </c>
      <c r="K193" t="s">
        <v>63</v>
      </c>
      <c r="L193">
        <v>3</v>
      </c>
      <c r="N193">
        <v>2</v>
      </c>
      <c r="O193" t="s">
        <v>145</v>
      </c>
      <c r="P193" t="s">
        <v>95</v>
      </c>
      <c r="Q193" t="s">
        <v>147</v>
      </c>
      <c r="R193" t="s">
        <v>149</v>
      </c>
      <c r="S193" t="s">
        <v>48</v>
      </c>
      <c r="T193">
        <v>2</v>
      </c>
      <c r="V193">
        <v>1</v>
      </c>
      <c r="W193" t="s">
        <v>49</v>
      </c>
      <c r="X193" t="s">
        <v>84</v>
      </c>
      <c r="AA193" t="s">
        <v>38</v>
      </c>
      <c r="AB193">
        <v>2</v>
      </c>
      <c r="AC193">
        <v>3</v>
      </c>
      <c r="AD193">
        <v>2</v>
      </c>
      <c r="AE193" t="s">
        <v>67</v>
      </c>
      <c r="AF193" t="s">
        <v>40</v>
      </c>
      <c r="AG193" t="s">
        <v>154</v>
      </c>
      <c r="AH193" t="s">
        <v>156</v>
      </c>
      <c r="AI193">
        <v>0</v>
      </c>
      <c r="AJ193">
        <v>21</v>
      </c>
    </row>
    <row r="194" spans="1:36" x14ac:dyDescent="0.25">
      <c r="A194" t="s">
        <v>480</v>
      </c>
      <c r="B194">
        <v>192</v>
      </c>
      <c r="C194" t="s">
        <v>48</v>
      </c>
      <c r="D194">
        <v>2</v>
      </c>
      <c r="F194">
        <v>2</v>
      </c>
      <c r="G194" t="s">
        <v>126</v>
      </c>
      <c r="H194" t="s">
        <v>50</v>
      </c>
      <c r="I194" t="s">
        <v>127</v>
      </c>
      <c r="J194" t="s">
        <v>128</v>
      </c>
      <c r="K194" t="s">
        <v>38</v>
      </c>
      <c r="L194">
        <v>3</v>
      </c>
      <c r="M194">
        <v>1</v>
      </c>
      <c r="N194">
        <v>2</v>
      </c>
      <c r="O194" t="s">
        <v>39</v>
      </c>
      <c r="P194" t="s">
        <v>40</v>
      </c>
      <c r="S194" t="s">
        <v>43</v>
      </c>
      <c r="T194">
        <v>2</v>
      </c>
      <c r="V194">
        <v>1</v>
      </c>
      <c r="W194" t="s">
        <v>44</v>
      </c>
      <c r="AA194" t="s">
        <v>45</v>
      </c>
      <c r="AB194">
        <v>3</v>
      </c>
      <c r="AD194">
        <v>1</v>
      </c>
      <c r="AE194" t="s">
        <v>140</v>
      </c>
      <c r="AF194" t="s">
        <v>76</v>
      </c>
      <c r="AG194" t="s">
        <v>102</v>
      </c>
      <c r="AH194" t="s">
        <v>143</v>
      </c>
      <c r="AI194">
        <v>0</v>
      </c>
      <c r="AJ194">
        <v>19</v>
      </c>
    </row>
    <row r="195" spans="1:36" x14ac:dyDescent="0.25">
      <c r="A195" t="s">
        <v>481</v>
      </c>
      <c r="B195">
        <v>193</v>
      </c>
      <c r="C195" t="s">
        <v>43</v>
      </c>
      <c r="D195">
        <v>2</v>
      </c>
      <c r="F195">
        <v>2</v>
      </c>
      <c r="G195" t="s">
        <v>44</v>
      </c>
      <c r="K195" t="s">
        <v>63</v>
      </c>
      <c r="L195">
        <v>1</v>
      </c>
      <c r="N195">
        <v>1</v>
      </c>
      <c r="O195" t="s">
        <v>103</v>
      </c>
      <c r="P195" t="s">
        <v>95</v>
      </c>
      <c r="Q195" t="s">
        <v>104</v>
      </c>
      <c r="S195" t="s">
        <v>48</v>
      </c>
      <c r="T195">
        <v>3</v>
      </c>
      <c r="V195">
        <v>1</v>
      </c>
      <c r="W195" t="s">
        <v>89</v>
      </c>
      <c r="AA195" t="s">
        <v>38</v>
      </c>
      <c r="AB195">
        <v>2</v>
      </c>
      <c r="AC195">
        <v>1</v>
      </c>
      <c r="AD195">
        <v>2</v>
      </c>
      <c r="AE195" t="s">
        <v>67</v>
      </c>
      <c r="AI195">
        <v>0</v>
      </c>
      <c r="AJ195">
        <v>12</v>
      </c>
    </row>
    <row r="196" spans="1:36" x14ac:dyDescent="0.25">
      <c r="A196" t="s">
        <v>482</v>
      </c>
      <c r="B196">
        <v>194</v>
      </c>
      <c r="C196" t="s">
        <v>48</v>
      </c>
      <c r="D196">
        <v>2</v>
      </c>
      <c r="F196">
        <v>1</v>
      </c>
      <c r="G196" t="s">
        <v>89</v>
      </c>
      <c r="H196" t="s">
        <v>71</v>
      </c>
      <c r="I196" t="s">
        <v>51</v>
      </c>
      <c r="K196" t="s">
        <v>38</v>
      </c>
      <c r="L196">
        <v>3</v>
      </c>
      <c r="M196">
        <v>1</v>
      </c>
      <c r="N196">
        <v>1</v>
      </c>
      <c r="O196" t="s">
        <v>67</v>
      </c>
      <c r="P196" t="s">
        <v>96</v>
      </c>
      <c r="S196" t="s">
        <v>45</v>
      </c>
      <c r="T196">
        <v>1</v>
      </c>
      <c r="V196">
        <v>1</v>
      </c>
      <c r="W196" t="s">
        <v>140</v>
      </c>
      <c r="AA196" t="s">
        <v>63</v>
      </c>
      <c r="AB196">
        <v>1</v>
      </c>
      <c r="AD196">
        <v>1</v>
      </c>
      <c r="AE196" t="s">
        <v>103</v>
      </c>
      <c r="AF196" t="s">
        <v>95</v>
      </c>
      <c r="AG196" t="s">
        <v>104</v>
      </c>
      <c r="AI196">
        <v>0</v>
      </c>
      <c r="AJ196">
        <v>13</v>
      </c>
    </row>
    <row r="197" spans="1:36" x14ac:dyDescent="0.25">
      <c r="A197" t="s">
        <v>483</v>
      </c>
      <c r="B197">
        <v>195</v>
      </c>
      <c r="C197" t="s">
        <v>45</v>
      </c>
      <c r="D197">
        <v>3</v>
      </c>
      <c r="F197">
        <v>1</v>
      </c>
      <c r="G197" t="s">
        <v>140</v>
      </c>
      <c r="H197" t="s">
        <v>92</v>
      </c>
      <c r="I197" t="s">
        <v>102</v>
      </c>
      <c r="K197" t="s">
        <v>63</v>
      </c>
      <c r="L197">
        <v>1</v>
      </c>
      <c r="N197">
        <v>2</v>
      </c>
      <c r="O197" t="s">
        <v>145</v>
      </c>
      <c r="P197" t="s">
        <v>146</v>
      </c>
      <c r="Q197" t="s">
        <v>104</v>
      </c>
      <c r="S197" t="s">
        <v>33</v>
      </c>
      <c r="T197">
        <v>2</v>
      </c>
      <c r="V197">
        <v>3</v>
      </c>
      <c r="W197" t="s">
        <v>65</v>
      </c>
      <c r="X197" t="s">
        <v>35</v>
      </c>
      <c r="AA197" t="s">
        <v>43</v>
      </c>
      <c r="AB197">
        <v>2</v>
      </c>
      <c r="AD197">
        <v>1</v>
      </c>
      <c r="AE197" t="s">
        <v>44</v>
      </c>
      <c r="AF197" t="s">
        <v>136</v>
      </c>
      <c r="AI197">
        <v>0</v>
      </c>
      <c r="AJ197">
        <v>17</v>
      </c>
    </row>
    <row r="198" spans="1:36" x14ac:dyDescent="0.25">
      <c r="A198" t="s">
        <v>484</v>
      </c>
      <c r="B198">
        <v>196</v>
      </c>
      <c r="C198" t="s">
        <v>33</v>
      </c>
      <c r="D198">
        <v>1</v>
      </c>
      <c r="F198">
        <v>3</v>
      </c>
      <c r="G198" t="s">
        <v>65</v>
      </c>
      <c r="K198" t="s">
        <v>43</v>
      </c>
      <c r="L198">
        <v>2</v>
      </c>
      <c r="N198">
        <v>2</v>
      </c>
      <c r="O198" t="s">
        <v>44</v>
      </c>
      <c r="P198" t="s">
        <v>136</v>
      </c>
      <c r="Q198" t="s">
        <v>137</v>
      </c>
      <c r="S198" t="s">
        <v>45</v>
      </c>
      <c r="T198">
        <v>3</v>
      </c>
      <c r="V198">
        <v>1</v>
      </c>
      <c r="W198" t="s">
        <v>140</v>
      </c>
      <c r="AA198" t="s">
        <v>38</v>
      </c>
      <c r="AB198">
        <v>3</v>
      </c>
      <c r="AC198">
        <v>1</v>
      </c>
      <c r="AD198">
        <v>2</v>
      </c>
      <c r="AE198" t="s">
        <v>67</v>
      </c>
      <c r="AI198">
        <v>0</v>
      </c>
      <c r="AJ198">
        <v>16</v>
      </c>
    </row>
    <row r="199" spans="1:36" x14ac:dyDescent="0.25">
      <c r="A199" t="s">
        <v>485</v>
      </c>
      <c r="B199">
        <v>197</v>
      </c>
      <c r="C199" t="s">
        <v>33</v>
      </c>
      <c r="D199">
        <v>3</v>
      </c>
      <c r="F199">
        <v>3</v>
      </c>
      <c r="G199" t="s">
        <v>65</v>
      </c>
      <c r="H199" t="s">
        <v>66</v>
      </c>
      <c r="I199" t="s">
        <v>131</v>
      </c>
      <c r="J199" t="s">
        <v>133</v>
      </c>
      <c r="K199" t="s">
        <v>43</v>
      </c>
      <c r="L199">
        <v>2</v>
      </c>
      <c r="N199">
        <v>1</v>
      </c>
      <c r="O199" t="s">
        <v>44</v>
      </c>
      <c r="P199" t="s">
        <v>99</v>
      </c>
      <c r="Q199" t="s">
        <v>137</v>
      </c>
      <c r="S199" t="s">
        <v>63</v>
      </c>
      <c r="T199">
        <v>1</v>
      </c>
      <c r="V199">
        <v>1</v>
      </c>
      <c r="W199" t="s">
        <v>145</v>
      </c>
      <c r="X199" t="s">
        <v>146</v>
      </c>
      <c r="AA199" t="s">
        <v>38</v>
      </c>
      <c r="AB199">
        <v>3</v>
      </c>
      <c r="AC199">
        <v>2</v>
      </c>
      <c r="AD199">
        <v>3</v>
      </c>
      <c r="AE199" t="s">
        <v>39</v>
      </c>
      <c r="AF199" t="s">
        <v>40</v>
      </c>
      <c r="AG199" t="s">
        <v>153</v>
      </c>
      <c r="AH199" t="s">
        <v>156</v>
      </c>
      <c r="AI199">
        <v>0</v>
      </c>
      <c r="AJ199">
        <v>24</v>
      </c>
    </row>
    <row r="200" spans="1:36" x14ac:dyDescent="0.25">
      <c r="A200" s="36" t="s">
        <v>486</v>
      </c>
      <c r="B200">
        <v>198</v>
      </c>
      <c r="C200" t="s">
        <v>43</v>
      </c>
      <c r="D200">
        <v>3</v>
      </c>
      <c r="F200">
        <v>1</v>
      </c>
      <c r="G200" t="s">
        <v>44</v>
      </c>
      <c r="H200" t="s">
        <v>136</v>
      </c>
      <c r="K200" t="s">
        <v>63</v>
      </c>
      <c r="L200">
        <v>2</v>
      </c>
      <c r="N200">
        <v>1</v>
      </c>
      <c r="O200" t="s">
        <v>145</v>
      </c>
      <c r="P200" t="s">
        <v>146</v>
      </c>
      <c r="S200" t="s">
        <v>33</v>
      </c>
      <c r="T200">
        <v>3</v>
      </c>
      <c r="V200">
        <v>1</v>
      </c>
      <c r="W200" t="s">
        <v>65</v>
      </c>
      <c r="X200" t="s">
        <v>35</v>
      </c>
      <c r="AA200" t="s">
        <v>45</v>
      </c>
      <c r="AB200">
        <v>3</v>
      </c>
      <c r="AD200">
        <v>1</v>
      </c>
      <c r="AE200" t="s">
        <v>140</v>
      </c>
      <c r="AI200">
        <v>0</v>
      </c>
      <c r="AJ200">
        <v>14</v>
      </c>
    </row>
    <row r="201" spans="1:36" x14ac:dyDescent="0.25">
      <c r="A201" t="s">
        <v>487</v>
      </c>
      <c r="B201">
        <v>199</v>
      </c>
      <c r="C201" t="s">
        <v>43</v>
      </c>
      <c r="D201">
        <v>2</v>
      </c>
      <c r="F201">
        <v>1</v>
      </c>
      <c r="G201" t="s">
        <v>44</v>
      </c>
      <c r="H201" t="s">
        <v>136</v>
      </c>
      <c r="I201" t="s">
        <v>75</v>
      </c>
      <c r="K201" t="s">
        <v>38</v>
      </c>
      <c r="L201">
        <v>1</v>
      </c>
      <c r="M201">
        <v>1</v>
      </c>
      <c r="N201">
        <v>2</v>
      </c>
      <c r="O201" t="s">
        <v>67</v>
      </c>
      <c r="P201" t="s">
        <v>96</v>
      </c>
      <c r="Q201" t="s">
        <v>153</v>
      </c>
      <c r="S201" t="s">
        <v>33</v>
      </c>
      <c r="T201">
        <v>1</v>
      </c>
      <c r="V201">
        <v>2</v>
      </c>
      <c r="W201" t="s">
        <v>65</v>
      </c>
      <c r="AA201" t="s">
        <v>45</v>
      </c>
      <c r="AB201">
        <v>3</v>
      </c>
      <c r="AD201">
        <v>2</v>
      </c>
      <c r="AE201" t="s">
        <v>140</v>
      </c>
      <c r="AI201">
        <v>0</v>
      </c>
      <c r="AJ201">
        <v>14</v>
      </c>
    </row>
    <row r="202" spans="1:36" x14ac:dyDescent="0.25">
      <c r="A202" t="s">
        <v>488</v>
      </c>
      <c r="B202">
        <v>200</v>
      </c>
      <c r="C202" t="s">
        <v>33</v>
      </c>
      <c r="D202">
        <v>1</v>
      </c>
      <c r="F202">
        <v>3</v>
      </c>
      <c r="G202" t="s">
        <v>65</v>
      </c>
      <c r="H202" t="s">
        <v>35</v>
      </c>
      <c r="I202" t="s">
        <v>131</v>
      </c>
      <c r="J202" t="s">
        <v>134</v>
      </c>
      <c r="K202" t="s">
        <v>45</v>
      </c>
      <c r="L202">
        <v>3</v>
      </c>
      <c r="N202">
        <v>1</v>
      </c>
      <c r="O202" t="s">
        <v>140</v>
      </c>
      <c r="P202" t="s">
        <v>141</v>
      </c>
      <c r="Q202" t="s">
        <v>93</v>
      </c>
      <c r="R202" t="s">
        <v>144</v>
      </c>
      <c r="S202" t="s">
        <v>63</v>
      </c>
      <c r="T202">
        <v>3</v>
      </c>
      <c r="V202">
        <v>3</v>
      </c>
      <c r="W202" t="s">
        <v>145</v>
      </c>
      <c r="X202" t="s">
        <v>146</v>
      </c>
      <c r="AA202" t="s">
        <v>38</v>
      </c>
      <c r="AB202">
        <v>2</v>
      </c>
      <c r="AC202">
        <v>1</v>
      </c>
      <c r="AD202">
        <v>2</v>
      </c>
      <c r="AE202" t="s">
        <v>67</v>
      </c>
      <c r="AI202">
        <v>0</v>
      </c>
      <c r="AJ202">
        <v>22</v>
      </c>
    </row>
    <row r="203" spans="1:36" x14ac:dyDescent="0.25">
      <c r="A203" t="s">
        <v>489</v>
      </c>
      <c r="B203">
        <v>201</v>
      </c>
      <c r="C203" t="s">
        <v>33</v>
      </c>
      <c r="D203">
        <v>2</v>
      </c>
      <c r="F203">
        <v>3</v>
      </c>
      <c r="G203" t="s">
        <v>65</v>
      </c>
      <c r="H203" t="s">
        <v>66</v>
      </c>
      <c r="K203" t="s">
        <v>63</v>
      </c>
      <c r="L203">
        <v>1</v>
      </c>
      <c r="N203">
        <v>3</v>
      </c>
      <c r="O203" t="s">
        <v>145</v>
      </c>
      <c r="P203" t="s">
        <v>146</v>
      </c>
      <c r="S203" t="s">
        <v>43</v>
      </c>
      <c r="T203">
        <v>3</v>
      </c>
      <c r="V203">
        <v>1</v>
      </c>
      <c r="W203" t="s">
        <v>44</v>
      </c>
      <c r="X203" t="s">
        <v>136</v>
      </c>
      <c r="AA203" t="s">
        <v>45</v>
      </c>
      <c r="AB203">
        <v>3</v>
      </c>
      <c r="AD203">
        <v>1</v>
      </c>
      <c r="AE203" t="s">
        <v>140</v>
      </c>
      <c r="AI203">
        <v>0</v>
      </c>
      <c r="AJ203">
        <v>18</v>
      </c>
    </row>
    <row r="204" spans="1:36" x14ac:dyDescent="0.25">
      <c r="A204" t="s">
        <v>490</v>
      </c>
      <c r="B204">
        <v>202</v>
      </c>
      <c r="C204" t="s">
        <v>33</v>
      </c>
      <c r="D204">
        <v>3</v>
      </c>
      <c r="F204">
        <v>3</v>
      </c>
      <c r="G204" t="s">
        <v>65</v>
      </c>
      <c r="H204" t="s">
        <v>66</v>
      </c>
      <c r="K204" t="s">
        <v>63</v>
      </c>
      <c r="L204">
        <v>2</v>
      </c>
      <c r="N204">
        <v>2</v>
      </c>
      <c r="O204" t="s">
        <v>145</v>
      </c>
      <c r="P204" t="s">
        <v>146</v>
      </c>
      <c r="Q204" t="s">
        <v>104</v>
      </c>
      <c r="R204" t="s">
        <v>150</v>
      </c>
      <c r="S204" t="s">
        <v>43</v>
      </c>
      <c r="T204">
        <v>3</v>
      </c>
      <c r="V204">
        <v>1</v>
      </c>
      <c r="W204" t="s">
        <v>44</v>
      </c>
      <c r="X204" t="s">
        <v>136</v>
      </c>
      <c r="Y204" t="s">
        <v>137</v>
      </c>
      <c r="Z204" t="s">
        <v>138</v>
      </c>
      <c r="AA204" t="s">
        <v>38</v>
      </c>
      <c r="AB204">
        <v>3</v>
      </c>
      <c r="AC204">
        <v>2</v>
      </c>
      <c r="AD204">
        <v>2</v>
      </c>
      <c r="AE204" t="s">
        <v>67</v>
      </c>
      <c r="AI204">
        <v>0</v>
      </c>
      <c r="AJ204">
        <v>24</v>
      </c>
    </row>
    <row r="205" spans="1:36" x14ac:dyDescent="0.25">
      <c r="A205" t="s">
        <v>491</v>
      </c>
      <c r="B205">
        <v>203</v>
      </c>
      <c r="C205" t="s">
        <v>33</v>
      </c>
      <c r="D205">
        <v>1</v>
      </c>
      <c r="F205">
        <v>2</v>
      </c>
      <c r="G205" t="s">
        <v>65</v>
      </c>
      <c r="H205" t="s">
        <v>66</v>
      </c>
      <c r="K205" t="s">
        <v>63</v>
      </c>
      <c r="L205">
        <v>2</v>
      </c>
      <c r="N205">
        <v>1</v>
      </c>
      <c r="O205" t="s">
        <v>145</v>
      </c>
      <c r="P205" t="s">
        <v>146</v>
      </c>
      <c r="Q205" t="s">
        <v>104</v>
      </c>
      <c r="S205" t="s">
        <v>45</v>
      </c>
      <c r="T205">
        <v>3</v>
      </c>
      <c r="V205">
        <v>1</v>
      </c>
      <c r="W205" t="s">
        <v>86</v>
      </c>
      <c r="X205" t="s">
        <v>141</v>
      </c>
      <c r="AA205" t="s">
        <v>38</v>
      </c>
      <c r="AB205">
        <v>1</v>
      </c>
      <c r="AC205">
        <v>1</v>
      </c>
      <c r="AD205">
        <v>2</v>
      </c>
      <c r="AE205" t="s">
        <v>39</v>
      </c>
      <c r="AF205" t="s">
        <v>40</v>
      </c>
      <c r="AI205">
        <v>0</v>
      </c>
      <c r="AJ205">
        <v>14</v>
      </c>
    </row>
    <row r="206" spans="1:36" x14ac:dyDescent="0.25">
      <c r="A206" t="s">
        <v>492</v>
      </c>
      <c r="B206">
        <v>204</v>
      </c>
      <c r="C206" t="s">
        <v>43</v>
      </c>
      <c r="D206">
        <v>3</v>
      </c>
      <c r="F206">
        <v>1</v>
      </c>
      <c r="G206" t="s">
        <v>44</v>
      </c>
      <c r="H206" t="s">
        <v>136</v>
      </c>
      <c r="I206" t="s">
        <v>137</v>
      </c>
      <c r="K206" t="s">
        <v>45</v>
      </c>
      <c r="L206">
        <v>3</v>
      </c>
      <c r="N206">
        <v>1</v>
      </c>
      <c r="O206" t="s">
        <v>140</v>
      </c>
      <c r="S206" t="s">
        <v>33</v>
      </c>
      <c r="T206">
        <v>2</v>
      </c>
      <c r="V206">
        <v>2</v>
      </c>
      <c r="W206" t="s">
        <v>65</v>
      </c>
      <c r="X206" t="s">
        <v>66</v>
      </c>
      <c r="AA206" t="s">
        <v>38</v>
      </c>
      <c r="AB206">
        <v>2</v>
      </c>
      <c r="AC206">
        <v>1</v>
      </c>
      <c r="AD206">
        <v>2</v>
      </c>
      <c r="AE206" t="s">
        <v>67</v>
      </c>
      <c r="AI206">
        <v>0</v>
      </c>
      <c r="AJ206">
        <v>17</v>
      </c>
    </row>
    <row r="207" spans="1:36" x14ac:dyDescent="0.25">
      <c r="A207" t="s">
        <v>493</v>
      </c>
      <c r="B207">
        <v>205</v>
      </c>
      <c r="C207" t="s">
        <v>33</v>
      </c>
      <c r="D207">
        <v>1</v>
      </c>
      <c r="F207">
        <v>2</v>
      </c>
      <c r="G207" t="s">
        <v>34</v>
      </c>
      <c r="K207" t="s">
        <v>38</v>
      </c>
      <c r="L207">
        <v>3</v>
      </c>
      <c r="M207">
        <v>1</v>
      </c>
      <c r="N207">
        <v>2</v>
      </c>
      <c r="O207" t="s">
        <v>67</v>
      </c>
      <c r="P207" t="s">
        <v>40</v>
      </c>
      <c r="S207" t="s">
        <v>43</v>
      </c>
      <c r="T207">
        <v>2</v>
      </c>
      <c r="V207">
        <v>1</v>
      </c>
      <c r="W207" t="s">
        <v>44</v>
      </c>
      <c r="AA207" t="s">
        <v>63</v>
      </c>
      <c r="AB207">
        <v>2</v>
      </c>
      <c r="AD207">
        <v>1</v>
      </c>
      <c r="AE207" t="s">
        <v>145</v>
      </c>
      <c r="AF207" t="s">
        <v>146</v>
      </c>
      <c r="AG207" t="s">
        <v>147</v>
      </c>
      <c r="AI207">
        <v>0</v>
      </c>
      <c r="AJ207">
        <v>13</v>
      </c>
    </row>
    <row r="208" spans="1:36" x14ac:dyDescent="0.25">
      <c r="A208" t="s">
        <v>494</v>
      </c>
      <c r="B208">
        <v>206</v>
      </c>
      <c r="C208" t="s">
        <v>33</v>
      </c>
      <c r="D208">
        <v>3</v>
      </c>
      <c r="F208">
        <v>1</v>
      </c>
      <c r="G208" t="s">
        <v>34</v>
      </c>
      <c r="H208" t="s">
        <v>35</v>
      </c>
      <c r="K208" t="s">
        <v>38</v>
      </c>
      <c r="L208">
        <v>1</v>
      </c>
      <c r="M208">
        <v>1</v>
      </c>
      <c r="N208">
        <v>2</v>
      </c>
      <c r="O208" t="s">
        <v>67</v>
      </c>
      <c r="P208" t="s">
        <v>96</v>
      </c>
      <c r="Q208" t="s">
        <v>153</v>
      </c>
      <c r="S208" t="s">
        <v>45</v>
      </c>
      <c r="T208">
        <v>1</v>
      </c>
      <c r="V208">
        <v>1</v>
      </c>
      <c r="W208" t="s">
        <v>140</v>
      </c>
      <c r="AA208" t="s">
        <v>63</v>
      </c>
      <c r="AB208">
        <v>2</v>
      </c>
      <c r="AD208">
        <v>1</v>
      </c>
      <c r="AE208" t="s">
        <v>72</v>
      </c>
      <c r="AF208" t="s">
        <v>146</v>
      </c>
      <c r="AI208">
        <v>0</v>
      </c>
      <c r="AJ208">
        <v>12</v>
      </c>
    </row>
    <row r="209" spans="1:36" x14ac:dyDescent="0.25">
      <c r="A209" t="s">
        <v>495</v>
      </c>
      <c r="B209">
        <v>207</v>
      </c>
      <c r="C209" t="s">
        <v>43</v>
      </c>
      <c r="D209">
        <v>2</v>
      </c>
      <c r="F209">
        <v>2</v>
      </c>
      <c r="G209" t="s">
        <v>44</v>
      </c>
      <c r="H209" t="s">
        <v>99</v>
      </c>
      <c r="I209" t="s">
        <v>75</v>
      </c>
      <c r="K209" t="s">
        <v>45</v>
      </c>
      <c r="L209">
        <v>3</v>
      </c>
      <c r="N209">
        <v>2</v>
      </c>
      <c r="O209" t="s">
        <v>86</v>
      </c>
      <c r="P209" t="s">
        <v>92</v>
      </c>
      <c r="S209" t="s">
        <v>63</v>
      </c>
      <c r="T209">
        <v>1</v>
      </c>
      <c r="V209">
        <v>1</v>
      </c>
      <c r="W209" t="s">
        <v>72</v>
      </c>
      <c r="X209" t="s">
        <v>146</v>
      </c>
      <c r="Y209" t="s">
        <v>104</v>
      </c>
      <c r="Z209" t="s">
        <v>150</v>
      </c>
      <c r="AA209" t="s">
        <v>38</v>
      </c>
      <c r="AB209">
        <v>1</v>
      </c>
      <c r="AC209">
        <v>1</v>
      </c>
      <c r="AD209">
        <v>2</v>
      </c>
      <c r="AE209" t="s">
        <v>39</v>
      </c>
      <c r="AI209">
        <v>0</v>
      </c>
      <c r="AJ209">
        <v>16</v>
      </c>
    </row>
    <row r="210" spans="1:36" x14ac:dyDescent="0.25">
      <c r="A210" t="s">
        <v>496</v>
      </c>
      <c r="B210">
        <v>208</v>
      </c>
      <c r="C210" t="s">
        <v>43</v>
      </c>
      <c r="D210">
        <v>3</v>
      </c>
      <c r="F210">
        <v>3</v>
      </c>
      <c r="G210" t="s">
        <v>44</v>
      </c>
      <c r="H210" t="s">
        <v>136</v>
      </c>
      <c r="I210" t="s">
        <v>100</v>
      </c>
      <c r="J210" t="s">
        <v>101</v>
      </c>
      <c r="K210" t="s">
        <v>63</v>
      </c>
      <c r="L210">
        <v>3</v>
      </c>
      <c r="N210">
        <v>3</v>
      </c>
      <c r="O210" t="s">
        <v>145</v>
      </c>
      <c r="P210" t="s">
        <v>146</v>
      </c>
      <c r="Q210" t="s">
        <v>147</v>
      </c>
      <c r="R210" t="s">
        <v>150</v>
      </c>
      <c r="S210" t="s">
        <v>45</v>
      </c>
      <c r="T210">
        <v>3</v>
      </c>
      <c r="V210">
        <v>1</v>
      </c>
      <c r="W210" t="s">
        <v>140</v>
      </c>
      <c r="X210" t="s">
        <v>141</v>
      </c>
      <c r="Y210" t="s">
        <v>93</v>
      </c>
      <c r="Z210" t="s">
        <v>94</v>
      </c>
      <c r="AA210" t="s">
        <v>38</v>
      </c>
      <c r="AB210">
        <v>3</v>
      </c>
      <c r="AC210">
        <v>2</v>
      </c>
      <c r="AD210">
        <v>3</v>
      </c>
      <c r="AE210" t="s">
        <v>39</v>
      </c>
      <c r="AF210" t="s">
        <v>40</v>
      </c>
      <c r="AG210" t="s">
        <v>41</v>
      </c>
      <c r="AH210" t="s">
        <v>155</v>
      </c>
      <c r="AI210">
        <v>0</v>
      </c>
      <c r="AJ210">
        <v>32</v>
      </c>
    </row>
    <row r="211" spans="1:36" x14ac:dyDescent="0.25">
      <c r="A211" t="s">
        <v>497</v>
      </c>
      <c r="B211">
        <v>209</v>
      </c>
      <c r="C211" t="s">
        <v>45</v>
      </c>
      <c r="D211">
        <v>3</v>
      </c>
      <c r="F211">
        <v>1</v>
      </c>
      <c r="G211" t="s">
        <v>140</v>
      </c>
      <c r="K211" t="s">
        <v>63</v>
      </c>
      <c r="L211">
        <v>2</v>
      </c>
      <c r="N211">
        <v>1</v>
      </c>
      <c r="O211" t="s">
        <v>72</v>
      </c>
      <c r="P211" t="s">
        <v>146</v>
      </c>
      <c r="S211" t="s">
        <v>43</v>
      </c>
      <c r="T211">
        <v>3</v>
      </c>
      <c r="V211">
        <v>1</v>
      </c>
      <c r="W211" t="s">
        <v>44</v>
      </c>
      <c r="AA211" t="s">
        <v>38</v>
      </c>
      <c r="AB211">
        <v>1</v>
      </c>
      <c r="AC211">
        <v>1</v>
      </c>
      <c r="AD211">
        <v>1</v>
      </c>
      <c r="AE211" t="s">
        <v>39</v>
      </c>
      <c r="AF211" t="s">
        <v>96</v>
      </c>
      <c r="AG211" t="s">
        <v>153</v>
      </c>
      <c r="AH211" t="s">
        <v>155</v>
      </c>
      <c r="AI211">
        <v>0</v>
      </c>
      <c r="AJ211">
        <v>14</v>
      </c>
    </row>
  </sheetData>
  <conditionalFormatting sqref="B1:B1048576">
    <cfRule type="duplicateValues" dxfId="1764" priority="1"/>
  </conditionalFormatting>
  <conditionalFormatting sqref="A2:B211">
    <cfRule type="duplicateValues" dxfId="1763" priority="643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I22" sqref="I22:J22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3" s="3">
        <f>IF(ScenarioTeams5[[#This Row],[battles]],ScenarioTeams5[[#This Row],[wins]]/ScenarioTeams5[[#This Row],[battles]],0)</f>
        <v>0.66666666666666663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4" s="3">
        <f>IF(ScenarioTeams5[[#This Row],[battles]],ScenarioTeams5[[#This Row],[wins]]/ScenarioTeams5[[#This Row],[battles]],0)</f>
        <v>0.4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5" s="3">
        <f>IF(ScenarioTeams5[[#This Row],[battles]],ScenarioTeams5[[#This Row],[wins]]/ScenarioTeams5[[#This Row],[battles]],0)</f>
        <v>0.8</v>
      </c>
      <c r="O5" s="4" t="s">
        <v>158</v>
      </c>
      <c r="P5" s="30">
        <f>MIN(Scenario5[turns])</f>
        <v>10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6" s="3">
        <f>IF(ScenarioTeams5[[#This Row],[battles]],ScenarioTeams5[[#This Row],[wins]]/ScenarioTeams5[[#This Row],[battles]],0)</f>
        <v>0.53333333333333333</v>
      </c>
      <c r="O6" s="5" t="s">
        <v>108</v>
      </c>
      <c r="P6" s="31">
        <f>AVERAGE(Scenario5[turns])</f>
        <v>18.890476190476189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7" s="3">
        <f>IF(ScenarioTeams5[[#This Row],[battles]],ScenarioTeams5[[#This Row],[wins]]/ScenarioTeams5[[#This Row],[battles]],0)</f>
        <v>0.6</v>
      </c>
      <c r="O7" s="5" t="s">
        <v>160</v>
      </c>
      <c r="P7" s="31">
        <f>MAX(Scenario5[turns])</f>
        <v>48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8" s="3">
        <f>IF(ScenarioTeams5[[#This Row],[battles]],ScenarioTeams5[[#This Row],[wins]]/ScenarioTeams5[[#This Row],[battles]],0)</f>
        <v>0.6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9" s="3">
        <f>IF(ScenarioTeams5[[#This Row],[battles]],ScenarioTeams5[[#This Row],[wins]]/ScenarioTeams5[[#This Row],[battles]],0)</f>
        <v>0.6</v>
      </c>
      <c r="O9" s="4" t="s">
        <v>185</v>
      </c>
      <c r="P9" s="30">
        <f>120000*$P$6/1000/60</f>
        <v>37.780952380952378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0" s="3">
        <f>IF(ScenarioTeams5[[#This Row],[battles]],ScenarioTeams5[[#This Row],[wins]]/ScenarioTeams5[[#This Row],[battles]],0)</f>
        <v>0.33333333333333331</v>
      </c>
      <c r="O10" s="5" t="s">
        <v>186</v>
      </c>
      <c r="P10" s="31">
        <f>P9*COUNTA(ScenarioStat5[hero-1])/60/24</f>
        <v>5.509722222222222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1" s="3">
        <f>IF(ScenarioTeams5[[#This Row],[battles]],ScenarioTeams5[[#This Row],[wins]]/ScenarioTeams5[[#This Row],[battles]],0)</f>
        <v>0.66666666666666663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2" s="3">
        <f>IF(ScenarioTeams5[[#This Row],[battles]],ScenarioTeams5[[#This Row],[wins]]/ScenarioTeams5[[#This Row],[battles]],0)</f>
        <v>0.6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3" s="3">
        <f>IF(ScenarioTeams5[[#This Row],[battles]],ScenarioTeams5[[#This Row],[wins]]/ScenarioTeams5[[#This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4" s="3">
        <f>IF(ScenarioTeams5[[#This Row],[battles]],ScenarioTeams5[[#This Row],[wins]]/ScenarioTeams5[[#This Row],[battles]],0)</f>
        <v>0.66666666666666663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5" s="3">
        <f>IF(ScenarioTeams5[[#This Row],[battles]],ScenarioTeams5[[#This Row],[wins]]/ScenarioTeams5[[#This Row],[battles]],0)</f>
        <v>0.66666666666666663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6" s="3">
        <f>IF(ScenarioTeams5[[#This Row],[battles]],ScenarioTeams5[[#This Row],[wins]]/ScenarioTeams5[[#This Row],[battles]],0)</f>
        <v>0.6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7" s="3">
        <f>IF(ScenarioTeams5[[#This Row],[battles]],ScenarioTeams5[[#This Row],[wins]]/ScenarioTeams5[[#This Row],[battles]],0)</f>
        <v>0.26666666666666666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8" s="3">
        <f>IF(ScenarioTeams5[[#This Row],[battles]],ScenarioTeams5[[#This Row],[wins]]/ScenarioTeams5[[#This Row],[battles]],0)</f>
        <v>0.26666666666666666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19" s="3">
        <f>IF(ScenarioTeams5[[#This Row],[battles]],ScenarioTeams5[[#This Row],[wins]]/ScenarioTeams5[[#This Row],[battles]],0)</f>
        <v>0.2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0" s="3">
        <f>IF(ScenarioTeams5[[#This Row],[battles]],ScenarioTeams5[[#This Row],[wins]]/ScenarioTeams5[[#This Row],[battles]],0)</f>
        <v>0.4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1" s="3">
        <f>IF(ScenarioTeams5[[#This Row],[battles]],ScenarioTeams5[[#This Row],[wins]]/ScenarioTeams5[[#This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22" s="3">
        <f>IF(ScenarioTeams5[[#This Row],[battles]],ScenarioTeams5[[#This Row],[wins]]/ScenarioTeams5[[#This Row],[battles]],0)</f>
        <v>0.8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3" s="3">
        <f>IF(ScenarioTeams5[[#This Row],[battles]],ScenarioTeams5[[#This Row],[wins]]/ScenarioTeams5[[#This Row],[battles]],0)</f>
        <v>0.66666666666666663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4" s="3">
        <f>IF(ScenarioTeams5[[#This Row],[battles]],ScenarioTeams5[[#This Row],[wins]]/ScenarioTeams5[[#This Row],[battles]],0)</f>
        <v>0.6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25" s="3">
        <f>IF(ScenarioTeams5[[#This Row],[battles]],ScenarioTeams5[[#This Row],[wins]]/ScenarioTeams5[[#This Row],[battles]],0)</f>
        <v>0.2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6" s="3">
        <f>IF(ScenarioTeams5[[#This Row],[battles]],ScenarioTeams5[[#This Row],[wins]]/ScenarioTeams5[[#This Row],[battles]],0)</f>
        <v>0.4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7" s="3">
        <f>IF(ScenarioTeams5[[#This Row],[battles]],ScenarioTeams5[[#This Row],[wins]]/ScenarioTeams5[[#This Row],[battles]],0)</f>
        <v>0.33333333333333331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8" s="3">
        <f>IF(ScenarioTeams5[[#This Row],[battles]],ScenarioTeams5[[#This Row],[wins]]/ScenarioTeams5[[#This Row],[battles]],0)</f>
        <v>0.4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9" s="3">
        <f>IF(ScenarioTeams5[[#This Row],[battles]],ScenarioTeams5[[#This Row],[wins]]/ScenarioTeams5[[#This Row],[battles]],0)</f>
        <v>0.4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30" s="3">
        <f>IF(ScenarioTeams5[[#This Row],[battles]],ScenarioTeams5[[#This Row],[wins]]/ScenarioTeams5[[#This Row],[battles]],0)</f>
        <v>0.26666666666666666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N18"/>
  <sheetViews>
    <sheetView tabSelected="1" workbookViewId="0">
      <selection activeCell="X10" sqref="X10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19.140625" bestFit="1" customWidth="1"/>
    <col min="12" max="12" width="8.7109375" customWidth="1"/>
    <col min="13" max="13" width="7.85546875" bestFit="1" customWidth="1"/>
    <col min="14" max="14" width="7.7109375" style="3" bestFit="1" customWidth="1"/>
    <col min="15" max="15" width="7.42578125" bestFit="1" customWidth="1"/>
  </cols>
  <sheetData>
    <row r="1" spans="1:14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  <c r="K1" t="s">
        <v>194</v>
      </c>
    </row>
    <row r="2" spans="1:14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143</v>
      </c>
      <c r="C2">
        <f>COUNTIF(Scenario0[winner1],HeroStatistics[[#This Row],[hero]])+COUNTIF(Scenario0[winner2],HeroStatistics[[#This Row],[hero]])</f>
        <v>0</v>
      </c>
      <c r="D2">
        <f>COUNTIF(Scenario1[winner1],HeroStatistics[[#This Row],[hero]])+COUNTIF(Scenario1[winner2],HeroStatistics[[#This Row],[hero]])</f>
        <v>1</v>
      </c>
      <c r="E2">
        <f>COUNTIF(Scenario2[winner1],HeroStatistics[[#This Row],[hero]])</f>
        <v>8</v>
      </c>
      <c r="F2">
        <f>COUNTIF(Scenario3[winner1],HeroStatistics[[#This Row],[hero]])</f>
        <v>10</v>
      </c>
      <c r="G2">
        <f>COUNTIF(Scenario4[winner1],HeroStatistics[[#This Row],[hero]])</f>
        <v>0</v>
      </c>
      <c r="H2">
        <f>COUNTIF(Scenario5[winner1],HeroStatistics[[#This Row],[hero]])+COUNTIF(Scenario5[winner2],HeroStatistics[[#This Row],[hero]])</f>
        <v>63</v>
      </c>
      <c r="I2">
        <f>SUM(HeroStatistics[[#This Row],[0-wins]:[5-wins]])</f>
        <v>82</v>
      </c>
      <c r="J2" s="35">
        <f>HeroStatistics[[#This Row],[wins]]/HeroStatistics[[#This Row],[battles]]</f>
        <v>0.57342657342657344</v>
      </c>
      <c r="K2" s="33">
        <f>paragon!X11</f>
        <v>3.9230769230769229</v>
      </c>
      <c r="N2"/>
    </row>
    <row r="3" spans="1:14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143</v>
      </c>
      <c r="C3">
        <f>COUNTIF(Scenario0[winner1],HeroStatistics[[#This Row],[hero]])+COUNTIF(Scenario0[winner2],HeroStatistics[[#This Row],[hero]])</f>
        <v>0</v>
      </c>
      <c r="D3">
        <f>COUNTIF(Scenario1[winner1],HeroStatistics[[#This Row],[hero]])+COUNTIF(Scenario1[winner2],HeroStatistics[[#This Row],[hero]])</f>
        <v>1</v>
      </c>
      <c r="E3">
        <f>COUNTIF(Scenario2[winner1],HeroStatistics[[#This Row],[hero]])</f>
        <v>8</v>
      </c>
      <c r="F3">
        <f>COUNTIF(Scenario3[winner1],HeroStatistics[[#This Row],[hero]])</f>
        <v>12</v>
      </c>
      <c r="G3">
        <f>COUNTIF(Scenario4[winner1],HeroStatistics[[#This Row],[hero]])</f>
        <v>1</v>
      </c>
      <c r="H3">
        <f>COUNTIF(Scenario5[winner1],HeroStatistics[[#This Row],[hero]])+COUNTIF(Scenario5[winner2],HeroStatistics[[#This Row],[hero]])</f>
        <v>62</v>
      </c>
      <c r="I3">
        <f>SUM(HeroStatistics[[#This Row],[0-wins]:[5-wins]])</f>
        <v>84</v>
      </c>
      <c r="J3" s="35">
        <f>HeroStatistics[[#This Row],[wins]]/HeroStatistics[[#This Row],[battles]]</f>
        <v>0.58741258741258739</v>
      </c>
      <c r="K3" s="33">
        <f>highlander!V9</f>
        <v>3.0909090909090908</v>
      </c>
      <c r="N3"/>
    </row>
    <row r="4" spans="1:14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145</v>
      </c>
      <c r="C4">
        <f>COUNTIF(Scenario0[winner1],HeroStatistics[[#This Row],[hero]])+COUNTIF(Scenario0[winner2],HeroStatistics[[#This Row],[hero]])</f>
        <v>1</v>
      </c>
      <c r="D4">
        <f>COUNTIF(Scenario1[winner1],HeroStatistics[[#This Row],[hero]])+COUNTIF(Scenario1[winner2],HeroStatistics[[#This Row],[hero]])</f>
        <v>0</v>
      </c>
      <c r="E4">
        <f>COUNTIF(Scenario2[winner1],HeroStatistics[[#This Row],[hero]])</f>
        <v>3</v>
      </c>
      <c r="F4">
        <f>COUNTIF(Scenario3[winner1],HeroStatistics[[#This Row],[hero]])</f>
        <v>4</v>
      </c>
      <c r="G4">
        <f>COUNTIF(Scenario4[winner1],HeroStatistics[[#This Row],[hero]])</f>
        <v>0</v>
      </c>
      <c r="H4">
        <f>COUNTIF(Scenario5[winner1],HeroStatistics[[#This Row],[hero]])+COUNTIF(Scenario5[winner2],HeroStatistics[[#This Row],[hero]])</f>
        <v>37</v>
      </c>
      <c r="I4">
        <f>SUM(HeroStatistics[[#This Row],[0-wins]:[5-wins]])</f>
        <v>45</v>
      </c>
      <c r="J4" s="35">
        <f>HeroStatistics[[#This Row],[wins]]/HeroStatistics[[#This Row],[battles]]</f>
        <v>0.31034482758620691</v>
      </c>
      <c r="K4" s="33">
        <f>druid!V9</f>
        <v>2.9172413793103447</v>
      </c>
      <c r="N4"/>
    </row>
    <row r="5" spans="1:14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143</v>
      </c>
      <c r="C5">
        <f>COUNTIF(Scenario0[winner1],HeroStatistics[[#This Row],[hero]])+COUNTIF(Scenario0[winner2],HeroStatistics[[#This Row],[hero]])</f>
        <v>0</v>
      </c>
      <c r="D5">
        <f>COUNTIF(Scenario1[winner1],HeroStatistics[[#This Row],[hero]])+COUNTIF(Scenario1[winner2],HeroStatistics[[#This Row],[hero]])</f>
        <v>0</v>
      </c>
      <c r="E5">
        <f>COUNTIF(Scenario2[winner1],HeroStatistics[[#This Row],[hero]])</f>
        <v>12</v>
      </c>
      <c r="F5">
        <f>COUNTIF(Scenario3[winner1],HeroStatistics[[#This Row],[hero]])</f>
        <v>7</v>
      </c>
      <c r="G5">
        <f>COUNTIF(Scenario4[winner1],HeroStatistics[[#This Row],[hero]])</f>
        <v>0</v>
      </c>
      <c r="H5">
        <f>COUNTIF(Scenario5[winner1],HeroStatistics[[#This Row],[hero]])+COUNTIF(Scenario5[winner2],HeroStatistics[[#This Row],[hero]])</f>
        <v>70</v>
      </c>
      <c r="I5">
        <f>SUM(HeroStatistics[[#This Row],[0-wins]:[5-wins]])</f>
        <v>89</v>
      </c>
      <c r="J5" s="35">
        <f>HeroStatistics[[#This Row],[wins]]/HeroStatistics[[#This Row],[battles]]</f>
        <v>0.6223776223776224</v>
      </c>
      <c r="K5" s="33">
        <f>oracle!V9</f>
        <v>3.0839160839160837</v>
      </c>
      <c r="N5"/>
    </row>
    <row r="6" spans="1:14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142</v>
      </c>
      <c r="C6">
        <f>COUNTIF(Scenario0[winner1],HeroStatistics[[#This Row],[hero]])+COUNTIF(Scenario0[winner2],HeroStatistics[[#This Row],[hero]])</f>
        <v>1</v>
      </c>
      <c r="D6">
        <f>COUNTIF(Scenario1[winner1],HeroStatistics[[#This Row],[hero]])+COUNTIF(Scenario1[winner2],HeroStatistics[[#This Row],[hero]])</f>
        <v>0</v>
      </c>
      <c r="E6">
        <f>COUNTIF(Scenario2[winner1],HeroStatistics[[#This Row],[hero]])</f>
        <v>4</v>
      </c>
      <c r="F6">
        <f>COUNTIF(Scenario3[winner1],HeroStatistics[[#This Row],[hero]])</f>
        <v>8</v>
      </c>
      <c r="G6">
        <f>COUNTIF(Scenario4[winner1],HeroStatistics[[#This Row],[hero]])</f>
        <v>0</v>
      </c>
      <c r="H6">
        <f>COUNTIF(Scenario5[winner1],HeroStatistics[[#This Row],[hero]])+COUNTIF(Scenario5[winner2],HeroStatistics[[#This Row],[hero]])</f>
        <v>43</v>
      </c>
      <c r="I6">
        <f>SUM(HeroStatistics[[#This Row],[0-wins]:[5-wins]])</f>
        <v>56</v>
      </c>
      <c r="J6" s="35">
        <f>HeroStatistics[[#This Row],[wins]]/HeroStatistics[[#This Row],[battles]]</f>
        <v>0.39436619718309857</v>
      </c>
      <c r="K6" s="33">
        <f>avatar!V9</f>
        <v>2.943661971830986</v>
      </c>
      <c r="N6"/>
    </row>
    <row r="7" spans="1:14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140</v>
      </c>
      <c r="C7">
        <f>COUNTIF(Scenario0[winner1],HeroStatistics[[#This Row],[hero]])+COUNTIF(Scenario0[winner2],HeroStatistics[[#This Row],[hero]])</f>
        <v>0</v>
      </c>
      <c r="D7">
        <f>COUNTIF(Scenario1[winner1],HeroStatistics[[#This Row],[hero]])+COUNTIF(Scenario1[winner2],HeroStatistics[[#This Row],[hero]])</f>
        <v>0</v>
      </c>
      <c r="E7">
        <f>COUNTIF(Scenario2[winner1],HeroStatistics[[#This Row],[hero]])</f>
        <v>5</v>
      </c>
      <c r="F7">
        <f>COUNTIF(Scenario3[winner1],HeroStatistics[[#This Row],[hero]])</f>
        <v>4</v>
      </c>
      <c r="G7">
        <f>COUNTIF(Scenario4[winner1],HeroStatistics[[#This Row],[hero]])</f>
        <v>0</v>
      </c>
      <c r="H7">
        <f>COUNTIF(Scenario5[winner1],HeroStatistics[[#This Row],[hero]])+COUNTIF(Scenario5[winner2],HeroStatistics[[#This Row],[hero]])</f>
        <v>48</v>
      </c>
      <c r="I7">
        <f>SUM(HeroStatistics[[#This Row],[0-wins]:[5-wins]])</f>
        <v>57</v>
      </c>
      <c r="J7" s="35">
        <f>HeroStatistics[[#This Row],[wins]]/HeroStatistics[[#This Row],[battles]]</f>
        <v>0.40714285714285714</v>
      </c>
      <c r="K7" s="33">
        <f>shadow!V9</f>
        <v>2.7785714285714285</v>
      </c>
      <c r="N7"/>
    </row>
    <row r="8" spans="1:14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140</v>
      </c>
      <c r="C8">
        <f>COUNTIF(Scenario0[winner1],HeroStatistics[[#This Row],[hero]])+COUNTIF(Scenario0[winner2],HeroStatistics[[#This Row],[hero]])</f>
        <v>0</v>
      </c>
      <c r="D8">
        <f>COUNTIF(Scenario1[winner1],HeroStatistics[[#This Row],[hero]])+COUNTIF(Scenario1[winner2],HeroStatistics[[#This Row],[hero]])</f>
        <v>0</v>
      </c>
      <c r="E8">
        <f>COUNTIF(Scenario2[winner1],HeroStatistics[[#This Row],[hero]])</f>
        <v>9</v>
      </c>
      <c r="F8">
        <f>COUNTIF(Scenario3[winner1],HeroStatistics[[#This Row],[hero]])</f>
        <v>7</v>
      </c>
      <c r="G8">
        <f>COUNTIF(Scenario4[winner1],HeroStatistics[[#This Row],[hero]])</f>
        <v>0</v>
      </c>
      <c r="H8">
        <f>COUNTIF(Scenario5[winner1],HeroStatistics[[#This Row],[hero]])+COUNTIF(Scenario5[winner2],HeroStatistics[[#This Row],[hero]])</f>
        <v>48</v>
      </c>
      <c r="I8">
        <f>SUM(HeroStatistics[[#This Row],[0-wins]:[5-wins]])</f>
        <v>64</v>
      </c>
      <c r="J8" s="35">
        <f>HeroStatistics[[#This Row],[wins]]/HeroStatistics[[#This Row],[battles]]</f>
        <v>0.45714285714285713</v>
      </c>
      <c r="K8" s="33">
        <f>lightbringer!V9</f>
        <v>3.1714285714285713</v>
      </c>
      <c r="N8"/>
    </row>
    <row r="9" spans="1:14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140</v>
      </c>
      <c r="C9">
        <f>COUNTIF(Scenario0[winner1],HeroStatistics[[#This Row],[hero]])+COUNTIF(Scenario0[winner2],HeroStatistics[[#This Row],[hero]])</f>
        <v>0</v>
      </c>
      <c r="D9">
        <f>COUNTIF(Scenario1[winner1],HeroStatistics[[#This Row],[hero]])+COUNTIF(Scenario1[winner2],HeroStatistics[[#This Row],[hero]])</f>
        <v>0</v>
      </c>
      <c r="E9">
        <f>COUNTIF(Scenario2[winner1],HeroStatistics[[#This Row],[hero]])</f>
        <v>9</v>
      </c>
      <c r="F9">
        <f>COUNTIF(Scenario3[winner1],HeroStatistics[[#This Row],[hero]])</f>
        <v>4</v>
      </c>
      <c r="G9">
        <f>COUNTIF(Scenario4[winner1],HeroStatistics[[#This Row],[hero]])</f>
        <v>0</v>
      </c>
      <c r="H9">
        <f>COUNTIF(Scenario5[winner1],HeroStatistics[[#This Row],[hero]])+COUNTIF(Scenario5[winner2],HeroStatistics[[#This Row],[hero]])</f>
        <v>49</v>
      </c>
      <c r="I9">
        <f>SUM(HeroStatistics[[#This Row],[0-wins]:[5-wins]])</f>
        <v>62</v>
      </c>
      <c r="J9" s="35">
        <f>HeroStatistics[[#This Row],[wins]]/HeroStatistics[[#This Row],[battles]]</f>
        <v>0.44285714285714284</v>
      </c>
      <c r="K9" s="33">
        <f>avenger!X11</f>
        <v>3.4285714285714284</v>
      </c>
      <c r="N9"/>
    </row>
    <row r="10" spans="1:14" x14ac:dyDescent="0.25">
      <c r="N10"/>
    </row>
    <row r="11" spans="1:14" x14ac:dyDescent="0.25">
      <c r="N11"/>
    </row>
    <row r="12" spans="1:14" x14ac:dyDescent="0.25">
      <c r="N12"/>
    </row>
    <row r="13" spans="1:14" x14ac:dyDescent="0.25">
      <c r="N13"/>
    </row>
    <row r="14" spans="1:14" x14ac:dyDescent="0.25">
      <c r="N14"/>
    </row>
    <row r="15" spans="1:14" x14ac:dyDescent="0.25">
      <c r="N15"/>
    </row>
    <row r="16" spans="1:14" x14ac:dyDescent="0.25">
      <c r="N16"/>
    </row>
    <row r="17" spans="14:14" x14ac:dyDescent="0.25">
      <c r="N17"/>
    </row>
    <row r="18" spans="14:14" x14ac:dyDescent="0.25">
      <c r="N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E26" sqref="E26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0.2937062937062937</v>
      </c>
    </row>
    <row r="3" spans="1:24" x14ac:dyDescent="0.25">
      <c r="A3" s="17" t="s">
        <v>54</v>
      </c>
      <c r="B3">
        <f>M3+M24+M45+M66+M87+M108</f>
        <v>1</v>
      </c>
      <c r="C3">
        <f>N3+N24+N45+N66+N87+N108</f>
        <v>0</v>
      </c>
      <c r="D3" s="3">
        <f>IF(SUM(ParagonAbilities1[[#This Row],[takes]]) &gt; 0,ParagonAbilities1[[#This Row],[takes]]/SUM(ParagonAbilities1[takes]),0)</f>
        <v>6.993006993006993E-3</v>
      </c>
      <c r="E3" s="3">
        <f>IF(ParagonAbilities1[[#This Row],[takes]]&gt;0,ParagonAbilities1[[#This Row],[wins]]/ParagonAbilities1[[#This Row],[takes]],0)</f>
        <v>0</v>
      </c>
      <c r="G3">
        <v>1</v>
      </c>
      <c r="H3">
        <f>S3+S24+S45+S66+S87+S108</f>
        <v>58</v>
      </c>
      <c r="I3">
        <f>T3+T24+T45+T66+T87+T108</f>
        <v>73</v>
      </c>
      <c r="J3" s="18">
        <f>U3+U24+U45+U66+U87+U108</f>
        <v>53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</v>
      </c>
      <c r="N3">
        <f>COUNTIF(Scenario0[winner1-ability1],ParagonAbilities1Scenario0[[#This Row],[ability]])+COUNTIF(Scenario0[winner2-ability1],ParagonAbilities1Scenario0[[#This Row],[ability]])</f>
        <v>0</v>
      </c>
      <c r="O3" s="3">
        <f>IF(SUM(ParagonAbilities1Scenario0[[#This Row],[takes]]) &gt; 0,ParagonAbilities1Scenario0[[#This Row],[takes]]/SUM(ParagonAbilities1Scenario0[takes]),0)</f>
        <v>1</v>
      </c>
      <c r="P3" s="3">
        <f>IF(ParagonAbilities1Scenario0[[#This Row],[takes]]&gt;0,ParagonAbilities1Scenario0[[#This Row],[wins]]/ParagonAbilities1Scenario0[[#This Row],[takes]],0)</f>
        <v>0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</v>
      </c>
      <c r="W3" t="s">
        <v>189</v>
      </c>
      <c r="X3" s="16">
        <f>H5/SUM(ParagonEquip[spear])</f>
        <v>0.30069930069930068</v>
      </c>
    </row>
    <row r="4" spans="1:24" x14ac:dyDescent="0.25">
      <c r="A4" s="17" t="s">
        <v>111</v>
      </c>
      <c r="B4">
        <f t="shared" ref="B4:B5" si="0">M4+M25+M46+M67+M88+M109</f>
        <v>19</v>
      </c>
      <c r="C4">
        <f t="shared" ref="C4:C5" si="1">N4+N25+N46+N67+N88+N109</f>
        <v>14</v>
      </c>
      <c r="D4" s="3">
        <f>IF(SUM(ParagonAbilities1[[#This Row],[takes]]) &gt; 0,ParagonAbilities1[[#This Row],[takes]]/SUM(ParagonAbilities1[takes]),0)</f>
        <v>0.13286713286713286</v>
      </c>
      <c r="E4" s="3">
        <f>IF(ParagonAbilities1[[#This Row],[takes]]&gt;0,ParagonAbilities1[[#This Row],[wins]]/ParagonAbilities1[[#This Row],[takes]],0)</f>
        <v>0.73684210526315785</v>
      </c>
      <c r="G4">
        <v>2</v>
      </c>
      <c r="H4">
        <f t="shared" ref="H4:H5" si="2">S4+S25+S46+S67+S88+S109</f>
        <v>42</v>
      </c>
      <c r="I4">
        <f t="shared" ref="I4:I5" si="3">T4+T25+T46+T67+T88+T109</f>
        <v>23</v>
      </c>
      <c r="J4" s="18">
        <f t="shared" ref="J4:J5" si="4">U4+U25+U46+U67+U88+U109</f>
        <v>33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4">
        <f>COUNTIF(Scenario0[winner1-ability1],ParagonAbilities1Scenario0[[#This Row],[ability]])+COUNTIF(Scenario0[winner2-ability1],ParagonAbilities1Scenario0[[#This Row],[ability]])</f>
        <v>0</v>
      </c>
      <c r="O4" s="3">
        <f>IF(SUM(ParagonAbilities1Scenario0[[#This Row],[takes]]) &gt; 0,ParagonAbilities1Scenario0[[#This Row],[takes]]/SUM(ParagonAbilities1Scenario0[takes]),0)</f>
        <v>0</v>
      </c>
      <c r="P4" s="3">
        <f>IF(ParagonAbilities1Scenario0[[#This Row],[takes]]&gt;0,ParagonAbilities1Scenario0[[#This Row],[wins]]/ParagonAbilities1Scenario0[[#This Row],[takes]],0)</f>
        <v>0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0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4" t="s">
        <v>190</v>
      </c>
      <c r="X4" s="3">
        <f>ParagonEquip[[#This Row],[shield]]/SUM(ParagonEquip[shield])</f>
        <v>0.16083916083916083</v>
      </c>
    </row>
    <row r="5" spans="1:24" x14ac:dyDescent="0.25">
      <c r="A5" s="17" t="s">
        <v>112</v>
      </c>
      <c r="B5">
        <f t="shared" si="0"/>
        <v>123</v>
      </c>
      <c r="C5">
        <f t="shared" si="1"/>
        <v>68</v>
      </c>
      <c r="D5" s="3">
        <f>IF(SUM(ParagonAbilities1[[#This Row],[takes]]) &gt; 0,ParagonAbilities1[[#This Row],[takes]]/SUM(ParagonAbilities1[takes]),0)</f>
        <v>0.8601398601398601</v>
      </c>
      <c r="E5" s="3">
        <f>IF(ParagonAbilities1[[#This Row],[takes]]&gt;0,ParagonAbilities1[[#This Row],[wins]]/ParagonAbilities1[[#This Row],[takes]],0)</f>
        <v>0.55284552845528456</v>
      </c>
      <c r="G5">
        <v>3</v>
      </c>
      <c r="H5">
        <f t="shared" si="2"/>
        <v>43</v>
      </c>
      <c r="I5">
        <f t="shared" si="3"/>
        <v>47</v>
      </c>
      <c r="J5" s="18">
        <f t="shared" si="4"/>
        <v>57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0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5" t="s">
        <v>191</v>
      </c>
      <c r="X5" s="16">
        <f>ParagonEquip[[#This Row],[shield]]/SUM(ParagonEquip[shield])</f>
        <v>0.32867132867132864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0.23076923076923078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0.39860139860139859</v>
      </c>
    </row>
    <row r="8" spans="1:24" x14ac:dyDescent="0.25">
      <c r="A8" s="20" t="s">
        <v>55</v>
      </c>
      <c r="B8" s="2">
        <f>M8+M29+M50+M71+M92+M113</f>
        <v>56</v>
      </c>
      <c r="C8" s="2">
        <f>N8+N29+N50+N71+N92+N113</f>
        <v>32</v>
      </c>
      <c r="D8" s="12">
        <f>IF(SUM(ParagonAbilities2[[#This Row],[takes]]) &gt; 0,ParagonAbilities2[[#This Row],[takes]]/SUM(ParagonAbilities2[takes]),0)</f>
        <v>0.42105263157894735</v>
      </c>
      <c r="E8" s="12">
        <f>IF(ParagonAbilities2[[#This Row],[takes]]&gt;0,ParagonAbilities2[[#This Row],[wins]]/ParagonAbilities2[[#This Row],[takes]],0)</f>
        <v>0.5714285714285714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8" s="2">
        <f>COUNTIF(Scenario0[winner1-ability2],ParagonAbilities2Scenario0[[#This Row],[ability]])+COUNTIF(Scenario0[winner2-ability2],ParagonAbilities2Scenario0[[#This Row],[ability]])</f>
        <v>0</v>
      </c>
      <c r="O8" s="12">
        <f>IF(SUM(ParagonAbilities2Scenario0[[#This Row],[takes]]) &gt; 0,ParagonAbilities2Scenario0[[#This Row],[takes]]/SUM(ParagonAbilities2Scenario0[takes]),0)</f>
        <v>0</v>
      </c>
      <c r="P8" s="12">
        <f>IF(ParagonAbilities2Scenario0[[#This Row],[takes]]&gt;0,ParagonAbilities2Scenario0[[#This Row],[wins]]/ParagonAbilities2Scenario0[[#This Row],[takes]],0)</f>
        <v>0</v>
      </c>
      <c r="U8" s="18"/>
      <c r="W8" t="s">
        <v>176</v>
      </c>
      <c r="X8" s="3">
        <f>SUM(ParagonAbilities2[takes])/SUM(ParagonAbilities1[takes])</f>
        <v>0.93006993006993011</v>
      </c>
    </row>
    <row r="9" spans="1:24" x14ac:dyDescent="0.25">
      <c r="A9" s="17" t="s">
        <v>83</v>
      </c>
      <c r="B9" s="2">
        <f t="shared" ref="B9:B10" si="5">M9+M30+M51+M72+M93+M114</f>
        <v>35</v>
      </c>
      <c r="C9" s="2">
        <f t="shared" ref="C9:C10" si="6">N9+N30+N51+N72+N93+N114</f>
        <v>13</v>
      </c>
      <c r="D9" s="3">
        <f>IF(SUM(ParagonAbilities2[[#This Row],[takes]]) &gt; 0,ParagonAbilities2[[#This Row],[takes]]/SUM(ParagonAbilities2[takes]),0)</f>
        <v>0.26315789473684209</v>
      </c>
      <c r="E9" s="3">
        <f>IF(ParagonAbilities2[[#This Row],[takes]]&gt;0,ParagonAbilities2[[#This Row],[wins]]/ParagonAbilities2[[#This Row],[takes]],0)</f>
        <v>0.37142857142857144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9" s="2">
        <f>COUNTIF(Scenario0[winner1-ability2],ParagonAbilities2Scenario0[[#This Row],[ability]])+COUNTIF(Scenario0[winner2-ability2],ParagonAbilities2Scenario0[[#This Row],[ability]])</f>
        <v>0</v>
      </c>
      <c r="O9" s="3">
        <f>IF(SUM(ParagonAbilities2Scenario0[[#This Row],[takes]]) &gt; 0,ParagonAbilities2Scenario0[[#This Row],[takes]]/SUM(ParagonAbilities2Scenario0[takes]),0)</f>
        <v>0</v>
      </c>
      <c r="P9" s="3">
        <f>IF(ParagonAbilities2Scenario0[[#This Row],[takes]]&gt;0,ParagonAbilities2Scenario0[[#This Row],[wins]]/ParagonAbilities2Scenario0[[#This Row],[takes]],0)</f>
        <v>0</v>
      </c>
      <c r="U9" s="18"/>
      <c r="W9" t="s">
        <v>177</v>
      </c>
      <c r="X9" s="3">
        <f>SUM(ParagonAbilities3[takes])/SUM(ParagonAbilities1[takes])</f>
        <v>0.74125874125874125</v>
      </c>
    </row>
    <row r="10" spans="1:24" x14ac:dyDescent="0.25">
      <c r="A10" s="21" t="s">
        <v>113</v>
      </c>
      <c r="B10" s="2">
        <f t="shared" si="5"/>
        <v>42</v>
      </c>
      <c r="C10" s="2">
        <f t="shared" si="6"/>
        <v>32</v>
      </c>
      <c r="D10" s="13">
        <f>IF(SUM(ParagonAbilities2[[#This Row],[takes]]) &gt; 0,ParagonAbilities2[[#This Row],[takes]]/SUM(ParagonAbilities2[takes]),0)</f>
        <v>0.31578947368421051</v>
      </c>
      <c r="E10" s="13">
        <f>IF(ParagonAbilities2[[#This Row],[takes]]&gt;0,ParagonAbilities2[[#This Row],[wins]]/ParagonAbilities2[[#This Row],[takes]],0)</f>
        <v>0.76190476190476186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10" s="2">
        <f>COUNTIF(Scenario0[winner1-ability2],ParagonAbilities2Scenario0[[#This Row],[ability]])+COUNTIF(Scenario0[winner2-ability2],ParagonAbilities2Scenario0[[#This Row],[ability]])</f>
        <v>0</v>
      </c>
      <c r="O10" s="13">
        <f>IF(SUM(ParagonAbilities2Scenario0[[#This Row],[takes]]) &gt; 0,ParagonAbilities2Scenario0[[#This Row],[takes]]/SUM(ParagonAbilities2Scenario0[takes]),0)</f>
        <v>0</v>
      </c>
      <c r="P10" s="13">
        <f>IF(ParagonAbilities2Scenario0[[#This Row],[takes]]&gt;0,ParagonAbilities2Scenario0[[#This Row],[wins]]/ParagonAbilities2Scenario0[[#This Row],[takes]],0)</f>
        <v>0</v>
      </c>
      <c r="U10" s="18"/>
      <c r="W10" t="s">
        <v>178</v>
      </c>
      <c r="X10" s="16">
        <f>SUM(ParagonAbilities4[takes])/SUM(ParagonAbilities1[takes])</f>
        <v>0.53846153846153844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3.9230769230769229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37</v>
      </c>
      <c r="C13" s="1">
        <f>N13+N34+N55+N76+N97+N118</f>
        <v>28</v>
      </c>
      <c r="D13" s="14">
        <f>IF(SUM(ParagonAbilities3[[#This Row],[takes]]) &gt; 0,ParagonAbilities3[[#This Row],[takes]]/SUM(ParagonAbilities3[takes]),0)</f>
        <v>0.34905660377358488</v>
      </c>
      <c r="E13" s="14">
        <f>IF(ParagonAbilities3[[#This Row],[takes]]&gt;0,ParagonAbilities3[[#This Row],[wins]]/ParagonAbilities3[[#This Row],[takes]],0)</f>
        <v>0.7567567567567568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3" s="1">
        <f>COUNTIF(Scenario0[winner1-ability3],ParagonAbilities3Scenario0[[#This Row],[ability]])+COUNTIF(Scenario0[winner2-ability3],ParagonAbilities3Scenario0[[#This Row],[ability]])</f>
        <v>0</v>
      </c>
      <c r="O13" s="14">
        <f>IF(SUM(ParagonAbilities3Scenario0[[#This Row],[takes]]) &gt; 0,ParagonAbilities3Scenario0[[#This Row],[takes]]/SUM(ParagonAbilities3Scenario0[takes]),0)</f>
        <v>0</v>
      </c>
      <c r="P13" s="14">
        <f>IF(ParagonAbilities3Scenario0[[#This Row],[takes]]&gt;0,ParagonAbilities3Scenario0[[#This Row],[wins]]/ParagonAbilities3Scenario0[[#This Row],[takes]],0)</f>
        <v>0</v>
      </c>
      <c r="U13" s="18"/>
    </row>
    <row r="14" spans="1:24" x14ac:dyDescent="0.25">
      <c r="A14" s="20" t="s">
        <v>105</v>
      </c>
      <c r="B14" s="2">
        <f t="shared" ref="B14:B15" si="7">M14+M35+M56+M77+M98+M119</f>
        <v>30</v>
      </c>
      <c r="C14" s="2">
        <f t="shared" ref="C14:C15" si="8">N14+N35+N56+N77+N98+N119</f>
        <v>15</v>
      </c>
      <c r="D14" s="12">
        <f>IF(SUM(ParagonAbilities3[[#This Row],[takes]]) &gt; 0,ParagonAbilities3[[#This Row],[takes]]/SUM(ParagonAbilities3[takes]),0)</f>
        <v>0.28301886792452829</v>
      </c>
      <c r="E14" s="12">
        <f>IF(ParagonAbilities3[[#This Row],[takes]]&gt;0,ParagonAbilities3[[#This Row],[wins]]/ParagonAbilities3[[#This Row],[takes]],0)</f>
        <v>0.5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39</v>
      </c>
      <c r="C15" s="1">
        <f t="shared" si="8"/>
        <v>21</v>
      </c>
      <c r="D15" s="15">
        <f>IF(SUM(ParagonAbilities3[[#This Row],[takes]]) &gt; 0,ParagonAbilities3[[#This Row],[takes]]/SUM(ParagonAbilities3[takes]),0)</f>
        <v>0.36792452830188677</v>
      </c>
      <c r="E15" s="15">
        <f>IF(ParagonAbilities3[[#This Row],[takes]]&gt;0,ParagonAbilities3[[#This Row],[wins]]/ParagonAbilities3[[#This Row],[takes]],0)</f>
        <v>0.53846153846153844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5" s="1">
        <f>COUNTIF(Scenario0[winner1-ability3],ParagonAbilities3Scenario0[[#This Row],[ability]])+COUNTIF(Scenario0[winner2-ability3],ParagonAbilities3Scenario0[[#This Row],[ability]])</f>
        <v>0</v>
      </c>
      <c r="O15" s="15">
        <f>IF(SUM(ParagonAbilities3Scenario0[[#This Row],[takes]]) &gt; 0,ParagonAbilities3Scenario0[[#This Row],[takes]]/SUM(ParagonAbilities3Scenario0[takes]),0)</f>
        <v>0</v>
      </c>
      <c r="P15" s="15">
        <f>IF(ParagonAbilities3Scenario0[[#This Row],[takes]]&gt;0,ParagonAbilities3Scenario0[[#This Row],[wins]]/ParagonAbilities3Scenario0[[#This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29</v>
      </c>
      <c r="C18" s="2">
        <f>N18+N39+N60+N81+N102+N123</f>
        <v>20</v>
      </c>
      <c r="D18" s="12">
        <f>IF(SUM(ParagonAbilities4[[#This Row],[takes]]) &gt; 0,ParagonAbilities4[[#This Row],[takes]]/SUM(ParagonAbilities4[takes]),0)</f>
        <v>0.37662337662337664</v>
      </c>
      <c r="E18" s="12">
        <f>IF(ParagonAbilities4[[#This Row],[takes]]&gt;0,ParagonAbilities4[[#This Row],[wins]]/ParagonAbilities4[[#This Row],[takes]],0)</f>
        <v>0.68965517241379315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0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22</v>
      </c>
      <c r="C19" s="2">
        <f t="shared" ref="C19:C20" si="10">N19+N40+N61+N82+N103+N124</f>
        <v>9</v>
      </c>
      <c r="D19" s="12">
        <f>IF(SUM(ParagonAbilities4[[#This Row],[takes]]) &gt; 0,ParagonAbilities4[[#This Row],[takes]]/SUM(ParagonAbilities4[takes]),0)</f>
        <v>0.2857142857142857</v>
      </c>
      <c r="E19" s="12">
        <f>IF(ParagonAbilities4[[#This Row],[takes]]&gt;0,ParagonAbilities4[[#This Row],[wins]]/ParagonAbilities4[[#This Row],[takes]],0)</f>
        <v>0.40909090909090912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26</v>
      </c>
      <c r="C20" s="2">
        <f t="shared" si="10"/>
        <v>24</v>
      </c>
      <c r="D20" s="26">
        <f>IF(SUM(ParagonAbilities4[[#This Row],[takes]]) &gt; 0,ParagonAbilities4[[#This Row],[takes]]/SUM(ParagonAbilities4[takes]),0)</f>
        <v>0.33766233766233766</v>
      </c>
      <c r="E20" s="26">
        <f>IF(ParagonAbilities4[[#This Row],[takes]]&gt;0,ParagonAbilities4[[#This Row],[wins]]/ParagonAbilities4[[#This Row],[takes]],0)</f>
        <v>0.92307692307692313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4">
        <f>COUNTIF(Scenario1[winner1-ability1],ParagonAbilities1Scenario1[[#This Row],[ability]])+COUNTIF(Scenario1[winner2-ability1],ParagonAbilities1Scenario1[[#This Row],[ability]])</f>
        <v>0</v>
      </c>
      <c r="O24" s="3">
        <f>IF(SUM(ParagonAbilities1Scenario1[[#This Row],[takes]]) &gt; 0,ParagonAbilities1Scenario1[[#This Row],[takes]]/SUM(ParagonAbilities1Scenario1[takes]),0)</f>
        <v>0</v>
      </c>
      <c r="P24" s="3">
        <f>IF(ParagonAbilities1Scenario1[[#This Row],[takes]]&gt;0,ParagonAbilities1Scenario1[[#This Row],[wins]]/ParagonAbilities1Scenario1[[#This Row],[takes]],0)</f>
        <v>0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</v>
      </c>
      <c r="N25">
        <f>COUNTIF(Scenario1[winner1-ability1],ParagonAbilities1Scenario1[[#This Row],[ability]])+COUNTIF(Scenario1[winner2-ability1],ParagonAbilities1Scenario1[[#This Row],[ability]])</f>
        <v>1</v>
      </c>
      <c r="O25" s="3">
        <f>IF(SUM(ParagonAbilities1Scenario1[[#This Row],[takes]]) &gt; 0,ParagonAbilities1Scenario1[[#This Row],[takes]]/SUM(ParagonAbilities1Scenario1[takes]),0)</f>
        <v>1</v>
      </c>
      <c r="P25" s="3">
        <f>IF(ParagonAbilities1Scenario1[[#This Row],[takes]]&gt;0,ParagonAbilities1Scenario1[[#This Row],[wins]]/ParagonAbilities1Scenario1[[#This Row],[takes]],0)</f>
        <v>1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29" s="2">
        <f>COUNTIF(Scenario1[winner1-ability2],ParagonAbilities2Scenario1[[#This Row],[ability]])+COUNTIF(Scenario1[winner2-ability2],ParagonAbilities2Scenario1[[#This Row],[ability]])</f>
        <v>0</v>
      </c>
      <c r="O29" s="12">
        <f>IF(SUM(ParagonAbilities2Scenario1[[#This Row],[takes]]) &gt; 0,ParagonAbilities2Scenario1[[#This Row],[takes]]/SUM(ParagonAbilities2Scenario1[takes]),0)</f>
        <v>0</v>
      </c>
      <c r="P29" s="12">
        <f>IF(ParagonAbilities2Scenario1[[#This Row],[takes]]&gt;0,ParagonAbilities2Scenario1[[#This Row],[wins]]/ParagonAbilities2Scenario1[[#This Row],[takes]],0)</f>
        <v>0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30" s="2">
        <f>COUNTIF(Scenario1[winner1-ability2],ParagonAbilities2Scenario1[[#This Row],[ability]])+COUNTIF(Scenario1[winner2-ability2],ParagonAbilities2Scenario1[[#This Row],[ability]])</f>
        <v>0</v>
      </c>
      <c r="O30" s="3">
        <f>IF(SUM(ParagonAbilities2Scenario1[[#This Row],[takes]]) &gt; 0,ParagonAbilities2Scenario1[[#This Row],[takes]]/SUM(ParagonAbilities2Scenario1[takes]),0)</f>
        <v>0</v>
      </c>
      <c r="P30" s="3">
        <f>IF(ParagonAbilities2Scenario1[[#This Row],[takes]]&gt;0,ParagonAbilities2Scenario1[[#This Row],[wins]]/ParagonAbilities2Scenario1[[#This Row],[takes]],0)</f>
        <v>0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</v>
      </c>
      <c r="N31" s="2">
        <f>COUNTIF(Scenario1[winner1-ability2],ParagonAbilities2Scenario1[[#This Row],[ability]])+COUNTIF(Scenario1[winner2-ability2],ParagonAbilities2Scenario1[[#This Row],[ability]])</f>
        <v>1</v>
      </c>
      <c r="O31" s="13">
        <f>IF(SUM(ParagonAbilities2Scenario1[[#This Row],[takes]]) &gt; 0,ParagonAbilities2Scenario1[[#This Row],[takes]]/SUM(ParagonAbilities2Scenario1[takes]),0)</f>
        <v>1</v>
      </c>
      <c r="P31" s="13">
        <f>IF(ParagonAbilities2Scenario1[[#This Row],[takes]]&gt;0,ParagonAbilities2Scenario1[[#This Row],[wins]]/ParagonAbilities2Scenario1[[#This Row],[takes]],0)</f>
        <v>1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4" s="1">
        <f>COUNTIF(Scenario1[winner1-ability3],ParagonAbilities3Scenario1[[#This Row],[ability]])+COUNTIF(Scenario1[winner2-ability3],ParagonAbilities3Scenario1[[#This Row],[ability]])</f>
        <v>0</v>
      </c>
      <c r="O34" s="14">
        <f>IF(SUM(ParagonAbilities3Scenario1[[#This Row],[takes]]) &gt; 0,ParagonAbilities3Scenario1[[#This Row],[takes]]/SUM(ParagonAbilities3Scenario1[takes]),0)</f>
        <v>0</v>
      </c>
      <c r="P34" s="14">
        <f>IF(ParagonAbilities3Scenario1[[#This Row],[takes]]&gt;0,ParagonAbilities3Scenario1[[#This Row],[wins]]/ParagonAbilities3Scenario1[[#This Row],[takes]],0)</f>
        <v>0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5" s="2">
        <f>COUNTIF(Scenario1[winner1-ability3],ParagonAbilities3Scenario1[[#This Row],[ability]])+COUNTIF(Scenario1[winner2-ability3],ParagonAbilities3Scenario1[[#This Row],[ability]])</f>
        <v>0</v>
      </c>
      <c r="O35" s="12">
        <f>IF(SUM(ParagonAbilities3Scenario1[[#This Row],[takes]]) &gt; 0,ParagonAbilities3Scenario1[[#This Row],[takes]]/SUM(ParagonAbilities3Scenario1[takes]),0)</f>
        <v>0</v>
      </c>
      <c r="P35" s="12">
        <f>IF(ParagonAbilities3Scenario1[[#This Row],[takes]]&gt;0,ParagonAbilities3Scenario1[[#This Row],[wins]]/ParagonAbilities3Scenario1[[#This Row],[takes]],0)</f>
        <v>0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6" s="1">
        <f>COUNTIF(Scenario1[winner1-ability3],ParagonAbilities3Scenario1[[#This Row],[ability]])+COUNTIF(Scenario1[winner2-ability3],ParagonAbilities3Scenario1[[#This Row],[ability]])</f>
        <v>0</v>
      </c>
      <c r="O36" s="15">
        <f>IF(SUM(ParagonAbilities3Scenario1[[#This Row],[takes]]) &gt; 0,ParagonAbilities3Scenario1[[#This Row],[takes]]/SUM(ParagonAbilities3Scenario1[takes]),0)</f>
        <v>0</v>
      </c>
      <c r="P36" s="15">
        <f>IF(ParagonAbilities3Scenario1[[#This Row],[takes]]&gt;0,ParagonAbilities3Scenario1[[#This Row],[wins]]/ParagonAbilities3Scenario1[[#This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39" s="2">
        <f>COUNTIF(Scenario1[winner1-ability4],ParagonAbilities4Scenario1[[#This Row],[ability]])+COUNTIF(Scenario1[winner2-ability4],ParagonAbilities4Scenario1[[#This Row],[ability]])</f>
        <v>0</v>
      </c>
      <c r="O39" s="12">
        <f>IF(SUM(ParagonAbilities4Scenario1[[#This Row],[takes]]) &gt; 0,ParagonAbilities4Scenario1[[#This Row],[takes]]/SUM(ParagonAbilities4Scenario1[takes]),0)</f>
        <v>0</v>
      </c>
      <c r="P39" s="12">
        <f>IF(ParagonAbilities4Scenario1[[#This Row],[takes]]&gt;0,ParagonAbilities4Scenario1[[#This Row],[wins]]/ParagonAbilities4Scenario1[[#This Row],[takes]],0)</f>
        <v>0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6</v>
      </c>
      <c r="T45">
        <f>COUNTIFS(Scenario2[winner1],"paragon",Scenario2[winner1-sw],ParagonEquipScenario2[[#This Row],[level]])+COUNTIFS(Scenario2[loser1],"paragon",Scenario2[loser1-sw],ParagonEquipScenario2[[#This Row],[level]])</f>
        <v>6</v>
      </c>
      <c r="U45" s="18">
        <f>COUNTIFS(Scenario2[winner1],"paragon",Scenario2[winner1-cp],ParagonEquipScenario2[[#This Row],[level]])+COUNTIFS(Scenario2[loser1],"paragon",Scenario2[loser1-cp],ParagonEquipScenario2[[#This Row],[level]])</f>
        <v>8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2</v>
      </c>
      <c r="N46">
        <f>COUNTIF(Scenario2[winner1-ability1],ParagonAbilities1Scenario2[[#This Row],[ability]])</f>
        <v>0</v>
      </c>
      <c r="O46" s="3">
        <f>IF(SUM(ParagonAbilities1Scenario2[[#This Row],[takes]]) &gt; 0,ParagonAbilities1Scenario2[[#This Row],[takes]]/SUM(ParagonAbilities1Scenario2[takes]),0)</f>
        <v>0.14285714285714285</v>
      </c>
      <c r="P46" s="3">
        <f>IF(ParagonAbilities1Scenario2[[#This Row],[takes]]&gt;0,ParagonAbilities1Scenario2[[#This Row],[wins]]/ParagonAbilities1Scenario2[[#This Row],[takes]],0)</f>
        <v>0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4</v>
      </c>
      <c r="T46">
        <f>COUNTIFS(Scenario2[winner1],"paragon",Scenario2[winner1-sw],ParagonEquipScenario2[[#This Row],[level]])+COUNTIFS(Scenario2[loser1],"paragon",Scenario2[loser1-sw],ParagonEquipScenario2[[#This Row],[level]])</f>
        <v>3</v>
      </c>
      <c r="U46" s="18">
        <f>COUNTIFS(Scenario2[winner1],"paragon",Scenario2[winner1-cp],ParagonEquipScenario2[[#This Row],[level]])+COUNTIFS(Scenario2[loser1],"paragon",Scenario2[loser1-cp],ParagonEquipScenario2[[#This Row],[level]])</f>
        <v>2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12</v>
      </c>
      <c r="N47">
        <f>COUNTIF(Scenario2[winner1-ability1],ParagonAbilities1Scenario2[[#This Row],[ability]])</f>
        <v>8</v>
      </c>
      <c r="O47" s="3">
        <f>IF(SUM(ParagonAbilities1Scenario2[[#This Row],[takes]]) &gt; 0,ParagonAbilities1Scenario2[[#This Row],[takes]]/SUM(ParagonAbilities1Scenario2[takes]),0)</f>
        <v>0.8571428571428571</v>
      </c>
      <c r="P47" s="3">
        <f>IF(ParagonAbilities1Scenario2[[#This Row],[takes]]&gt;0,ParagonAbilities1Scenario2[[#This Row],[wins]]/ParagonAbilities1Scenario2[[#This Row],[takes]],0)</f>
        <v>0.66666666666666663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4</v>
      </c>
      <c r="T47">
        <f>COUNTIFS(Scenario2[winner1],"paragon",Scenario2[winner1-sw],ParagonEquipScenario2[[#This Row],[level]])+COUNTIFS(Scenario2[loser1],"paragon",Scenario2[loser1-sw],ParagonEquipScenario2[[#This Row],[level]])</f>
        <v>5</v>
      </c>
      <c r="U47" s="18">
        <f>COUNTIFS(Scenario2[winner1],"paragon",Scenario2[winner1-cp],ParagonEquipScenario2[[#This Row],[level]])+COUNTIFS(Scenario2[loser1],"paragon",Scenario2[loser1-cp],ParagonEquipScenario2[[#This Row],[level]])</f>
        <v>4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7</v>
      </c>
      <c r="N50" s="2">
        <f>COUNTIF(Scenario2[winner1-ability2],ParagonAbilities2Scenario2[[#This Row],[ability]])</f>
        <v>5</v>
      </c>
      <c r="O50" s="12">
        <f>IF(SUM(ParagonAbilities2Scenario2[[#This Row],[takes]]) &gt; 0,ParagonAbilities2Scenario2[[#This Row],[takes]]/SUM(ParagonAbilities2Scenario2[takes]),0)</f>
        <v>0.5</v>
      </c>
      <c r="P50" s="12">
        <f>IF(ParagonAbilities2Scenario2[[#This Row],[takes]]&gt;0,ParagonAbilities2Scenario2[[#This Row],[wins]]/ParagonAbilities2Scenario2[[#This Row],[takes]],0)</f>
        <v>0.7142857142857143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7</v>
      </c>
      <c r="N51" s="2">
        <f>COUNTIF(Scenario2[winner1-ability2],ParagonAbilities2Scenario2[[#This Row],[ability]])</f>
        <v>3</v>
      </c>
      <c r="O51" s="3">
        <f>IF(SUM(ParagonAbilities2Scenario2[[#This Row],[takes]]) &gt; 0,ParagonAbilities2Scenario2[[#This Row],[takes]]/SUM(ParagonAbilities2Scenario2[takes]),0)</f>
        <v>0.5</v>
      </c>
      <c r="P51" s="3">
        <f>IF(ParagonAbilities2Scenario2[[#This Row],[takes]]&gt;0,ParagonAbilities2Scenario2[[#This Row],[wins]]/ParagonAbilities2Scenario2[[#This Row],[takes]],0)</f>
        <v>0.42857142857142855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3</v>
      </c>
      <c r="N55" s="1">
        <f>COUNTIF(Scenario2[winner1-ability3],ParagonAbilities3Scenario2[[#This Row],[ability]])</f>
        <v>3</v>
      </c>
      <c r="O55" s="14">
        <f>IF(SUM(ParagonAbilities3Scenario2[[#This Row],[takes]]) &gt; 0,ParagonAbilities3Scenario2[[#This Row],[takes]]/SUM(ParagonAbilities3Scenario2[takes]),0)</f>
        <v>0.23076923076923078</v>
      </c>
      <c r="P55" s="14">
        <f>IF(ParagonAbilities3Scenario2[[#This Row],[takes]]&gt;0,ParagonAbilities3Scenario2[[#This Row],[wins]]/ParagonAbilities3Scenario2[[#This Row],[takes]],0)</f>
        <v>1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7.6923076923076927E-2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9</v>
      </c>
      <c r="N57" s="1">
        <f>COUNTIF(Scenario2[winner1-ability3],ParagonAbilities3Scenario2[[#This Row],[ability]])</f>
        <v>4</v>
      </c>
      <c r="O57" s="15">
        <f>IF(SUM(ParagonAbilities3Scenario2[[#This Row],[takes]]) &gt; 0,ParagonAbilities3Scenario2[[#This Row],[takes]]/SUM(ParagonAbilities3Scenario2[takes]),0)</f>
        <v>0.69230769230769229</v>
      </c>
      <c r="P57" s="15">
        <f>IF(ParagonAbilities3Scenario2[[#This Row],[takes]]&gt;0,ParagonAbilities3Scenario2[[#This Row],[wins]]/ParagonAbilities3Scenario2[[#This Row],[takes]],0)</f>
        <v>0.44444444444444442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8</v>
      </c>
      <c r="N60" s="2">
        <f>COUNTIF(Scenario2[winner1-ability4],ParagonAbilities4Scenario2[[#This Row],[ability]])</f>
        <v>6</v>
      </c>
      <c r="O60" s="12">
        <f>IF(SUM(ParagonAbilities4Scenario2[[#This Row],[takes]]) &gt; 0,ParagonAbilities4Scenario2[[#This Row],[takes]]/SUM(ParagonAbilities4Scenario2[takes]),0)</f>
        <v>0.66666666666666663</v>
      </c>
      <c r="P60" s="12">
        <f>IF(ParagonAbilities4Scenario2[[#This Row],[takes]]&gt;0,ParagonAbilities4Scenario2[[#This Row],[wins]]/ParagonAbilities4Scenario2[[#This Row],[takes]],0)</f>
        <v>0.75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4</v>
      </c>
      <c r="N61" s="2">
        <f>COUNTIF(Scenario2[winner1-ability4],ParagonAbilities4Scenario2[[#This Row],[ability]])</f>
        <v>2</v>
      </c>
      <c r="O61" s="12">
        <f>IF(SUM(ParagonAbilities4Scenario2[[#This Row],[takes]]) &gt; 0,ParagonAbilities4Scenario2[[#This Row],[takes]]/SUM(ParagonAbilities4Scenario2[takes]),0)</f>
        <v>0.33333333333333331</v>
      </c>
      <c r="P61" s="12">
        <f>IF(ParagonAbilities4Scenario2[[#This Row],[takes]]&gt;0,ParagonAbilities4Scenario2[[#This Row],[wins]]/ParagonAbilities4Scenario2[[#This Row],[takes]],0)</f>
        <v>0.5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6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10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0.47619047619047616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15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19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19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12</v>
      </c>
      <c r="N71" s="2">
        <f>COUNTIF(Scenario3[winner1-ability2],ParagonAbilities2Scenario3[[#This Row],[ability]])</f>
        <v>8</v>
      </c>
      <c r="O71" s="12">
        <f>IF(SUM(ParagonAbilities2Scenario3[[#This Row],[takes]]) &gt; 0,ParagonAbilities2Scenario3[[#This Row],[takes]]/SUM(ParagonAbilities2Scenario3[takes]),0)</f>
        <v>0.6</v>
      </c>
      <c r="P71" s="12">
        <f>IF(ParagonAbilities2Scenario3[[#This Row],[takes]]&gt;0,ParagonAbilities2Scenario3[[#This Row],[wins]]/ParagonAbilities2Scenario3[[#This Row],[takes]],0)</f>
        <v>0.66666666666666663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8</v>
      </c>
      <c r="N72" s="2">
        <f>COUNTIF(Scenario3[winner1-ability2],ParagonAbilities2Scenario3[[#This Row],[ability]])</f>
        <v>2</v>
      </c>
      <c r="O72" s="3">
        <f>IF(SUM(ParagonAbilities2Scenario3[[#This Row],[takes]]) &gt; 0,ParagonAbilities2Scenario3[[#This Row],[takes]]/SUM(ParagonAbilities2Scenario3[takes]),0)</f>
        <v>0.4</v>
      </c>
      <c r="P72" s="3">
        <f>IF(ParagonAbilities2Scenario3[[#This Row],[takes]]&gt;0,ParagonAbilities2Scenario3[[#This Row],[wins]]/ParagonAbilities2Scenario3[[#This Row],[takes]],0)</f>
        <v>0.25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8</v>
      </c>
      <c r="N76" s="1">
        <f>COUNTIF(Scenario3[winner1-ability3],ParagonAbilities3Scenario3[[#This Row],[ability]])</f>
        <v>6</v>
      </c>
      <c r="O76" s="14">
        <f>IF(SUM(ParagonAbilities3Scenario3[[#This Row],[takes]]) &gt; 0,ParagonAbilities3Scenario3[[#This Row],[takes]]/SUM(ParagonAbilities3Scenario3[takes]),0)</f>
        <v>0.47058823529411764</v>
      </c>
      <c r="P76" s="14">
        <f>IF(ParagonAbilities3Scenario3[[#This Row],[takes]]&gt;0,ParagonAbilities3Scenario3[[#This Row],[wins]]/ParagonAbilities3Scenario3[[#This Row],[takes]],0)</f>
        <v>0.75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5</v>
      </c>
      <c r="N77" s="2">
        <f>COUNTIF(Scenario3[winner1-ability3],ParagonAbilities3Scenario3[[#This Row],[ability]])</f>
        <v>2</v>
      </c>
      <c r="O77" s="12">
        <f>IF(SUM(ParagonAbilities3Scenario3[[#This Row],[takes]]) &gt; 0,ParagonAbilities3Scenario3[[#This Row],[takes]]/SUM(ParagonAbilities3Scenario3[takes]),0)</f>
        <v>0.29411764705882354</v>
      </c>
      <c r="P77" s="12">
        <f>IF(ParagonAbilities3Scenario3[[#This Row],[takes]]&gt;0,ParagonAbilities3Scenario3[[#This Row],[wins]]/ParagonAbilities3Scenario3[[#This Row],[takes]],0)</f>
        <v>0.4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4</v>
      </c>
      <c r="N78" s="1">
        <f>COUNTIF(Scenario3[winner1-ability3],ParagonAbilities3Scenario3[[#This Row],[ability]])</f>
        <v>2</v>
      </c>
      <c r="O78" s="15">
        <f>IF(SUM(ParagonAbilities3Scenario3[[#This Row],[takes]]) &gt; 0,ParagonAbilities3Scenario3[[#This Row],[takes]]/SUM(ParagonAbilities3Scenario3[takes]),0)</f>
        <v>0.23529411764705882</v>
      </c>
      <c r="P78" s="15">
        <f>IF(ParagonAbilities3Scenario3[[#This Row],[takes]]&gt;0,ParagonAbilities3Scenario3[[#This Row],[wins]]/ParagonAbilities3Scenario3[[#This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8</v>
      </c>
      <c r="N81" s="2">
        <f>COUNTIF(Scenario3[winner1-ability4],ParagonAbilities4Scenario3[[#This Row],[ability]])</f>
        <v>5</v>
      </c>
      <c r="O81" s="12">
        <f>IF(SUM(ParagonAbilities4Scenario3[[#This Row],[takes]]) &gt; 0,ParagonAbilities4Scenario3[[#This Row],[takes]]/SUM(ParagonAbilities4Scenario3[takes]),0)</f>
        <v>0.5714285714285714</v>
      </c>
      <c r="P81" s="12">
        <f>IF(ParagonAbilities4Scenario3[[#This Row],[takes]]&gt;0,ParagonAbilities4Scenario3[[#This Row],[wins]]/ParagonAbilities4Scenario3[[#This Row],[takes]],0)</f>
        <v>0.625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6</v>
      </c>
      <c r="N82" s="2">
        <f>COUNTIF(Scenario3[winner1-ability4],ParagonAbilities4Scenario3[[#This Row],[ability]])</f>
        <v>4</v>
      </c>
      <c r="O82" s="12">
        <f>IF(SUM(ParagonAbilities4Scenario3[[#This Row],[takes]]) &gt; 0,ParagonAbilities4Scenario3[[#This Row],[takes]]/SUM(ParagonAbilities4Scenario3[takes]),0)</f>
        <v>0.42857142857142855</v>
      </c>
      <c r="P82" s="12">
        <f>IF(ParagonAbilities4Scenario3[[#This Row],[takes]]&gt;0,ParagonAbilities4Scenario3[[#This Row],[wins]]/ParagonAbilities4Scenario3[[#This Row],[takes]],0)</f>
        <v>0.66666666666666663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1</v>
      </c>
      <c r="N89">
        <f>COUNTIF(Scenario4[winner1-ability1],ParagonAbilities1Scenario4[[#This Row],[ability]])</f>
        <v>0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</v>
      </c>
      <c r="N92" s="2">
        <f>COUNTIF(Scenario4[winner1-ability2],ParagonAbilities2Scenario4[[#This Row],[ability]])</f>
        <v>0</v>
      </c>
      <c r="O92" s="12">
        <f>IF(SUM(ParagonAbilities2Scenario4[[#This Row],[takes]]) &gt; 0,ParagonAbilities2Scenario4[[#This Row],[takes]]/SUM(ParagonAbilities2Scenario4[takes]),0)</f>
        <v>1</v>
      </c>
      <c r="P92" s="12">
        <f>IF(ParagonAbilities2Scenario4[[#This Row],[takes]]&gt;0,ParagonAbilities2Scenario4[[#This Row],[wins]]/ParagonAbilities2Scenario4[[#This Row],[takes]],0)</f>
        <v>0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3" s="2">
        <f>COUNTIF(Scenario4[winner1-ability2],ParagonAbilities2Scenario4[[#This Row],[ability]])</f>
        <v>0</v>
      </c>
      <c r="O93" s="3">
        <f>IF(SUM(ParagonAbilities2Scenario4[[#This Row],[takes]]) &gt; 0,ParagonAbilities2Scenario4[[#This Row],[takes]]/SUM(ParagonAbilities2Scenario4[takes]),0)</f>
        <v>0</v>
      </c>
      <c r="P93" s="3">
        <f>IF(ParagonAbilities2Scenario4[[#This Row],[takes]]&gt;0,ParagonAbilities2Scenario4[[#This Row],[wins]]/ParagonAbilities2Scenario4[[#This Row],[takes]],0)</f>
        <v>0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</v>
      </c>
      <c r="N98" s="2">
        <f>COUNTIF(Scenario4[winner1-ability3],ParagonAbilities3Scenario4[[#This Row],[ability]])</f>
        <v>0</v>
      </c>
      <c r="O98" s="12">
        <f>IF(SUM(ParagonAbilities3Scenario4[[#This Row],[takes]]) &gt; 0,ParagonAbilities3Scenario4[[#This Row],[takes]]/SUM(ParagonAbilities3Scenario4[takes]),0)</f>
        <v>1</v>
      </c>
      <c r="P98" s="12">
        <f>IF(ParagonAbilities3Scenario4[[#This Row],[takes]]&gt;0,ParagonAbilities3Scenario4[[#This Row],[wins]]/ParagonAbilities3Scenario4[[#This Row],[takes]],0)</f>
        <v>0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9" s="1">
        <f>COUNTIF(Scenario4[winner1-ability3],ParagonAbilities3Scenario4[[#This Row],[ability]])</f>
        <v>0</v>
      </c>
      <c r="O99" s="15">
        <f>IF(SUM(ParagonAbilities3Scenario4[[#This Row],[takes]]) &gt; 0,ParagonAbilities3Scenario4[[#This Row],[takes]]/SUM(ParagonAbilities3Scenario4[takes]),0)</f>
        <v>0</v>
      </c>
      <c r="P99" s="15">
        <f>IF(ParagonAbilities3Scenario4[[#This Row],[takes]]&gt;0,ParagonAbilities3Scenario4[[#This Row],[wins]]/ParagonAbilities3Scenario4[[#This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2" s="2">
        <f>COUNTIF(Scenario4[winner1-ability4],ParagonAbilities4Scenario4[[#This Row],[ability]])</f>
        <v>0</v>
      </c>
      <c r="O102" s="12">
        <f>IF(SUM(ParagonAbilities4Scenario4[[#This Row],[takes]]) &gt; 0,ParagonAbilities4Scenario4[[#This Row],[takes]]/SUM(ParagonAbilities4Scenario4[takes]),0)</f>
        <v>0</v>
      </c>
      <c r="P102" s="12">
        <f>IF(ParagonAbilities4Scenario4[[#This Row],[takes]]&gt;0,ParagonAbilities4Scenario4[[#This Row],[wins]]/ParagonAbilities4Scenario4[[#This Row],[takes]],0)</f>
        <v>0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</v>
      </c>
      <c r="N103" s="2">
        <f>COUNTIF(Scenario4[winner1-ability4],ParagonAbilities4Scenario4[[#This Row],[ability]])</f>
        <v>0</v>
      </c>
      <c r="O103" s="12">
        <f>IF(SUM(ParagonAbilities4Scenario4[[#This Row],[takes]]) &gt; 0,ParagonAbilities4Scenario4[[#This Row],[takes]]/SUM(ParagonAbilities4Scenario4[takes]),0)</f>
        <v>1</v>
      </c>
      <c r="P103" s="12">
        <f>IF(ParagonAbilities4Scenario4[[#This Row],[takes]]&gt;0,ParagonAbilities4Scenario4[[#This Row],[wins]]/ParagonAbilities4Scenario4[[#This Row],[takes]],0)</f>
        <v>0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44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64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43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16</v>
      </c>
      <c r="N109">
        <f>COUNTIF(Scenario5[winner1-ability1],ParagonAbilities1Scenario5[[#This Row],[ability]])+COUNTIF(Scenario5[winner2-ability1],ParagonAbilities1Scenario5[[#This Row],[ability]])</f>
        <v>13</v>
      </c>
      <c r="O109" s="3">
        <f>IF(SUM(ParagonAbilities1Scenario5[[#This Row],[takes]]) &gt; 0,ParagonAbilities1Scenario5[[#This Row],[takes]]/SUM(ParagonAbilities1Scenario5[takes]),0)</f>
        <v>0.15238095238095239</v>
      </c>
      <c r="P109" s="3">
        <f>IF(ParagonAbilities1Scenario5[[#This Row],[takes]]&gt;0,ParagonAbilities1Scenario5[[#This Row],[wins]]/ParagonAbilities1Scenario5[[#This Row],[takes]],0)</f>
        <v>0.8125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37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19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29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89</v>
      </c>
      <c r="N110">
        <f>COUNTIF(Scenario5[winner1-ability1],ParagonAbilities1Scenario5[[#This Row],[ability]])+COUNTIF(Scenario5[winner2-ability1],ParagonAbilities1Scenario5[[#This Row],[ability]])</f>
        <v>50</v>
      </c>
      <c r="O110" s="3">
        <f>IF(SUM(ParagonAbilities1Scenario5[[#This Row],[takes]]) &gt; 0,ParagonAbilities1Scenario5[[#This Row],[takes]]/SUM(ParagonAbilities1Scenario5[takes]),0)</f>
        <v>0.84761904761904761</v>
      </c>
      <c r="P110" s="3">
        <f>IF(ParagonAbilities1Scenario5[[#This Row],[takes]]&gt;0,ParagonAbilities1Scenario5[[#This Row],[wins]]/ParagonAbilities1Scenario5[[#This Row],[takes]],0)</f>
        <v>0.5617977528089888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24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22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33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36</v>
      </c>
      <c r="N113" s="2">
        <f>COUNTIF(Scenario5[winner1-ability2],ParagonAbilities2Scenario5[[#This Row],[ability]])+COUNTIF(Scenario5[winner2-ability2],ParagonAbilities2Scenario5[[#This Row],[ability]])</f>
        <v>19</v>
      </c>
      <c r="O113" s="12">
        <f>IF(SUM(ParagonAbilities2Scenario5[[#This Row],[takes]]) &gt; 0,ParagonAbilities2Scenario5[[#This Row],[takes]]/SUM(ParagonAbilities2Scenario5[takes]),0)</f>
        <v>0.37113402061855671</v>
      </c>
      <c r="P113" s="12">
        <f>IF(ParagonAbilities2Scenario5[[#This Row],[takes]]&gt;0,ParagonAbilities2Scenario5[[#This Row],[wins]]/ParagonAbilities2Scenario5[[#This Row],[takes]],0)</f>
        <v>0.52777777777777779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20</v>
      </c>
      <c r="N114" s="2">
        <f>COUNTIF(Scenario5[winner1-ability2],ParagonAbilities2Scenario5[[#This Row],[ability]])+COUNTIF(Scenario5[winner2-ability2],ParagonAbilities2Scenario5[[#This Row],[ability]])</f>
        <v>8</v>
      </c>
      <c r="O114" s="3">
        <f>IF(SUM(ParagonAbilities2Scenario5[[#This Row],[takes]]) &gt; 0,ParagonAbilities2Scenario5[[#This Row],[takes]]/SUM(ParagonAbilities2Scenario5[takes]),0)</f>
        <v>0.20618556701030927</v>
      </c>
      <c r="P114" s="3">
        <f>IF(ParagonAbilities2Scenario5[[#This Row],[takes]]&gt;0,ParagonAbilities2Scenario5[[#This Row],[wins]]/ParagonAbilities2Scenario5[[#This Row],[takes]],0)</f>
        <v>0.4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41</v>
      </c>
      <c r="N115" s="2">
        <f>COUNTIF(Scenario5[winner1-ability2],ParagonAbilities2Scenario5[[#This Row],[ability]])+COUNTIF(Scenario5[winner2-ability2],ParagonAbilities2Scenario5[[#This Row],[ability]])</f>
        <v>31</v>
      </c>
      <c r="O115" s="13">
        <f>IF(SUM(ParagonAbilities2Scenario5[[#This Row],[takes]]) &gt; 0,ParagonAbilities2Scenario5[[#This Row],[takes]]/SUM(ParagonAbilities2Scenario5[takes]),0)</f>
        <v>0.42268041237113402</v>
      </c>
      <c r="P115" s="13">
        <f>IF(ParagonAbilities2Scenario5[[#This Row],[takes]]&gt;0,ParagonAbilities2Scenario5[[#This Row],[wins]]/ParagonAbilities2Scenario5[[#This Row],[takes]],0)</f>
        <v>0.75609756097560976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26</v>
      </c>
      <c r="N118" s="1">
        <f>COUNTIF(Scenario5[winner1-ability3],ParagonAbilities3Scenario5[[#This Row],[ability]])+COUNTIF(Scenario5[winner2-ability3],ParagonAbilities3Scenario5[[#This Row],[ability]])</f>
        <v>19</v>
      </c>
      <c r="O118" s="14">
        <f>IF(SUM(ParagonAbilities3Scenario5[[#This Row],[takes]]) &gt; 0,ParagonAbilities3Scenario5[[#This Row],[takes]]/SUM(ParagonAbilities3Scenario5[takes]),0)</f>
        <v>0.34666666666666668</v>
      </c>
      <c r="P118" s="14">
        <f>IF(ParagonAbilities3Scenario5[[#This Row],[takes]]&gt;0,ParagonAbilities3Scenario5[[#This Row],[wins]]/ParagonAbilities3Scenario5[[#This Row],[takes]],0)</f>
        <v>0.73076923076923073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23</v>
      </c>
      <c r="N119" s="2">
        <f>COUNTIF(Scenario5[winner1-ability3],ParagonAbilities3Scenario5[[#This Row],[ability]])+COUNTIF(Scenario5[winner2-ability3],ParagonAbilities3Scenario5[[#This Row],[ability]])</f>
        <v>12</v>
      </c>
      <c r="O119" s="12">
        <f>IF(SUM(ParagonAbilities3Scenario5[[#This Row],[takes]]) &gt; 0,ParagonAbilities3Scenario5[[#This Row],[takes]]/SUM(ParagonAbilities3Scenario5[takes]),0)</f>
        <v>0.30666666666666664</v>
      </c>
      <c r="P119" s="12">
        <f>IF(ParagonAbilities3Scenario5[[#This Row],[takes]]&gt;0,ParagonAbilities3Scenario5[[#This Row],[wins]]/ParagonAbilities3Scenario5[[#This Row],[takes]],0)</f>
        <v>0.52173913043478259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26</v>
      </c>
      <c r="N120" s="1">
        <f>COUNTIF(Scenario5[winner1-ability3],ParagonAbilities3Scenario5[[#This Row],[ability]])+COUNTIF(Scenario5[winner2-ability3],ParagonAbilities3Scenario5[[#This Row],[ability]])</f>
        <v>15</v>
      </c>
      <c r="O120" s="15">
        <f>IF(SUM(ParagonAbilities3Scenario5[[#This Row],[takes]]) &gt; 0,ParagonAbilities3Scenario5[[#This Row],[takes]]/SUM(ParagonAbilities3Scenario5[takes]),0)</f>
        <v>0.34666666666666668</v>
      </c>
      <c r="P120" s="15">
        <f>IF(ParagonAbilities3Scenario5[[#This Row],[takes]]&gt;0,ParagonAbilities3Scenario5[[#This Row],[wins]]/ParagonAbilities3Scenario5[[#This Row],[takes]],0)</f>
        <v>0.57692307692307687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13</v>
      </c>
      <c r="N123" s="2">
        <f>COUNTIF(Scenario5[winner1-ability4],ParagonAbilities4Scenario5[[#This Row],[ability]])+COUNTIF(Scenario5[winner2-ability4],ParagonAbilities4Scenario5[[#This Row],[ability]])</f>
        <v>9</v>
      </c>
      <c r="O123" s="12">
        <f>IF(SUM(ParagonAbilities4Scenario5[[#This Row],[takes]]) &gt; 0,ParagonAbilities4Scenario5[[#This Row],[takes]]/SUM(ParagonAbilities4Scenario5[takes]),0)</f>
        <v>0.26</v>
      </c>
      <c r="P123" s="12">
        <f>IF(ParagonAbilities4Scenario5[[#This Row],[takes]]&gt;0,ParagonAbilities4Scenario5[[#This Row],[wins]]/ParagonAbilities4Scenario5[[#This Row],[takes]],0)</f>
        <v>0.69230769230769229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11</v>
      </c>
      <c r="N124" s="2">
        <f>COUNTIF(Scenario5[winner1-ability4],ParagonAbilities4Scenario5[[#This Row],[ability]])+COUNTIF(Scenario5[winner2-ability4],ParagonAbilities4Scenario5[[#This Row],[ability]])</f>
        <v>3</v>
      </c>
      <c r="O124" s="12">
        <f>IF(SUM(ParagonAbilities4Scenario5[[#This Row],[takes]]) &gt; 0,ParagonAbilities4Scenario5[[#This Row],[takes]]/SUM(ParagonAbilities4Scenario5[takes]),0)</f>
        <v>0.22</v>
      </c>
      <c r="P124" s="12">
        <f>IF(ParagonAbilities4Scenario5[[#This Row],[takes]]&gt;0,ParagonAbilities4Scenario5[[#This Row],[wins]]/ParagonAbilities4Scenario5[[#This Row],[takes]],0)</f>
        <v>0.27272727272727271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26</v>
      </c>
      <c r="N125" s="2">
        <f>COUNTIF(Scenario5[winner1-ability4],ParagonAbilities4Scenario5[[#This Row],[ability]])+COUNTIF(Scenario5[winner2-ability4],ParagonAbilities4Scenario5[[#This Row],[ability]])</f>
        <v>24</v>
      </c>
      <c r="O125" s="26">
        <f>IF(SUM(ParagonAbilities4Scenario5[[#This Row],[takes]]) &gt; 0,ParagonAbilities4Scenario5[[#This Row],[takes]]/SUM(ParagonAbilities4Scenario5[takes]),0)</f>
        <v>0.52</v>
      </c>
      <c r="P125" s="26">
        <f>IF(ParagonAbilities4Scenario5[[#This Row],[takes]]&gt;0,ParagonAbilities4Scenario5[[#This Row],[wins]]/ParagonAbilities4Scenario5[[#This Row],[takes]],0)</f>
        <v>0.92307692307692313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E24" sqref="E2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0.37062937062937062</v>
      </c>
    </row>
    <row r="3" spans="1:22" x14ac:dyDescent="0.25">
      <c r="A3" t="s">
        <v>68</v>
      </c>
      <c r="B3">
        <f>L3+L24+L45+L66+L87+L108</f>
        <v>10</v>
      </c>
      <c r="C3">
        <f>M3+M24+M45+M66+M87+M108</f>
        <v>6</v>
      </c>
      <c r="D3" s="3">
        <f>IF(SUM(HighlanderAbilities1[[#This Row],[takes]]) &gt; 0,HighlanderAbilities1[[#This Row],[takes]]/SUM(HighlanderAbilities1[takes]),0)</f>
        <v>6.9930069930069935E-2</v>
      </c>
      <c r="E3" s="3">
        <f>IF(HighlanderAbilities1[[#This Row],[takes]]&gt;0,HighlanderAbilities1[[#This Row],[wins]]/HighlanderAbilities1[[#This Row],[takes]],0)</f>
        <v>0.6</v>
      </c>
      <c r="G3">
        <v>1</v>
      </c>
      <c r="H3">
        <f>R3+R24+R45+R66+R87+R108</f>
        <v>7</v>
      </c>
      <c r="I3" s="18">
        <f>S3+S24+S45+S66+S87+S108</f>
        <v>86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3">
        <f>COUNTIF(Scenario0[winner1-ability1],HighlanderAbilities1Scenario0[[#This Row],[ability]])+COUNTIF(Scenario0[winner2-ability1],HighlanderAbilities1Scenario0[[#This Row],[ability]])</f>
        <v>0</v>
      </c>
      <c r="N3" s="3">
        <f>IF(SUM(HighlanderAbilities1Scenario0[[#This Row],[takes]]) &gt; 0,HighlanderAbilities1Scenario0[[#This Row],[takes]]/SUM(HighlanderAbilities1Scenario0[takes]),0)</f>
        <v>0</v>
      </c>
      <c r="O3" s="3">
        <f>IF(HighlanderAbilities1Scenario0[[#This Row],[takes]]&gt;0,HighlanderAbilities1Scenario0[[#This Row],[wins]]/HighlanderAbilities1Scenario0[[#This Row],[takes]],0)</f>
        <v>0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0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</v>
      </c>
      <c r="U3" t="s">
        <v>193</v>
      </c>
      <c r="V3" s="16">
        <f>H5/SUM(HighlanderEquip[sword])</f>
        <v>0.58041958041958042</v>
      </c>
    </row>
    <row r="4" spans="1:22" x14ac:dyDescent="0.25">
      <c r="A4" t="s">
        <v>120</v>
      </c>
      <c r="B4">
        <f t="shared" ref="B4:B5" si="0">L4+L25+L46+L67+L88+L109</f>
        <v>82</v>
      </c>
      <c r="C4">
        <f t="shared" ref="C4:C5" si="1">M4+M25+M46+M67+M88+M109</f>
        <v>50</v>
      </c>
      <c r="D4" s="3">
        <f>IF(SUM(HighlanderAbilities1[[#This Row],[takes]]) &gt; 0,HighlanderAbilities1[[#This Row],[takes]]/SUM(HighlanderAbilities1[takes]),0)</f>
        <v>0.57342657342657344</v>
      </c>
      <c r="E4" s="3">
        <f>IF(HighlanderAbilities1[[#This Row],[takes]]&gt;0,HighlanderAbilities1[[#This Row],[wins]]/HighlanderAbilities1[[#This Row],[takes]],0)</f>
        <v>0.6097560975609756</v>
      </c>
      <c r="G4">
        <v>2</v>
      </c>
      <c r="H4">
        <f t="shared" ref="H4:H5" si="2">R4+R25+R46+R67+R88+R109</f>
        <v>53</v>
      </c>
      <c r="I4" s="18">
        <f t="shared" ref="I4:I5" si="3">S4+S25+S46+S67+S88+S109</f>
        <v>31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4">
        <f>COUNTIF(Scenario0[winner1-ability1],HighlanderAbilities1Scenario0[[#This Row],[ability]])+COUNTIF(Scenario0[winner2-ability1],HighlanderAbilities1Scenario0[[#This Row],[ability]])</f>
        <v>0</v>
      </c>
      <c r="N4" s="3">
        <f>IF(SUM(HighlanderAbilities1Scenario0[[#This Row],[takes]]) &gt; 0,HighlanderAbilities1Scenario0[[#This Row],[takes]]/SUM(HighlanderAbilities1Scenario0[takes]),0)</f>
        <v>0</v>
      </c>
      <c r="O4" s="3">
        <f>IF(HighlanderAbilities1Scenario0[[#This Row],[takes]]&gt;0,HighlanderAbilities1Scenario0[[#This Row],[wins]]/HighlanderAbilities1Scenario0[[#This Row],[takes]],0)</f>
        <v>0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0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0</v>
      </c>
      <c r="U4" t="s">
        <v>179</v>
      </c>
      <c r="V4" s="3">
        <f>HighlanderEquip[[#This Row],[chestpiece]]/SUM(HighlanderEquip[chestpiece])</f>
        <v>0.21678321678321677</v>
      </c>
    </row>
    <row r="5" spans="1:22" x14ac:dyDescent="0.25">
      <c r="A5" t="s">
        <v>57</v>
      </c>
      <c r="B5">
        <f t="shared" si="0"/>
        <v>51</v>
      </c>
      <c r="C5">
        <f t="shared" si="1"/>
        <v>28</v>
      </c>
      <c r="D5" s="3">
        <f>IF(SUM(HighlanderAbilities1[[#This Row],[takes]]) &gt; 0,HighlanderAbilities1[[#This Row],[takes]]/SUM(HighlanderAbilities1[takes]),0)</f>
        <v>0.35664335664335667</v>
      </c>
      <c r="E5" s="3">
        <f>IF(HighlanderAbilities1[[#This Row],[takes]]&gt;0,HighlanderAbilities1[[#This Row],[wins]]/HighlanderAbilities1[[#This Row],[takes]],0)</f>
        <v>0.5490196078431373</v>
      </c>
      <c r="G5">
        <v>3</v>
      </c>
      <c r="H5">
        <f t="shared" si="2"/>
        <v>83</v>
      </c>
      <c r="I5" s="18">
        <f t="shared" si="3"/>
        <v>26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1</v>
      </c>
      <c r="M5">
        <f>COUNTIF(Scenario0[winner1-ability1],HighlanderAbilities1Scenario0[[#This Row],[ability]])+COUNTIF(Scenario0[winner2-ability1],HighlanderAbilities1Scenario0[[#This Row],[ability]])</f>
        <v>0</v>
      </c>
      <c r="N5" s="3">
        <f>IF(SUM(HighlanderAbilities1Scenario0[[#This Row],[takes]]) &gt; 0,HighlanderAbilities1Scenario0[[#This Row],[takes]]/SUM(HighlanderAbilities1Scenario0[takes]),0)</f>
        <v>1</v>
      </c>
      <c r="O5" s="3">
        <f>IF(HighlanderAbilities1Scenario0[[#This Row],[takes]]&gt;0,HighlanderAbilities1Scenario0[[#This Row],[wins]]/HighlanderAbilities1Scenario0[[#This Row],[takes]],0)</f>
        <v>0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0</v>
      </c>
      <c r="U5" t="s">
        <v>180</v>
      </c>
      <c r="V5" s="16">
        <f>HighlanderEquip[[#This Row],[chestpiece]]/SUM(HighlanderEquip[chestpiece])</f>
        <v>0.18181818181818182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0.87412587412587417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0.58741258741258739</v>
      </c>
    </row>
    <row r="8" spans="1:22" x14ac:dyDescent="0.25">
      <c r="A8" s="2" t="s">
        <v>69</v>
      </c>
      <c r="B8" s="2">
        <f>L8+L29+L50+L71+L92+L113</f>
        <v>36</v>
      </c>
      <c r="C8" s="2">
        <f>M8+M29+M50+M71+M92+M113</f>
        <v>23</v>
      </c>
      <c r="D8" s="12">
        <f>IF(SUM(HighlanderAbilities2[[#This Row],[takes]]) &gt; 0,HighlanderAbilities2[[#This Row],[takes]]/SUM(HighlanderAbilities2[takes]),0)</f>
        <v>0.28799999999999998</v>
      </c>
      <c r="E8" s="12">
        <f>IF(HighlanderAbilities2[[#This Row],[takes]]&gt;0,HighlanderAbilities2[[#This Row],[wins]]/HighlanderAbilities2[[#This Row],[takes]],0)</f>
        <v>0.63888888888888884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8" s="2">
        <f>COUNTIF(Scenario0[winner1-ability2],HighlanderAbilities2Scenario0[[#This Row],[ability]])+COUNTIF(Scenario0[winner2-ability2],HighlanderAbilities2Scenario0[[#This Row],[ability]])</f>
        <v>0</v>
      </c>
      <c r="N8" s="12">
        <f>IF(SUM(HighlanderAbilities2Scenario0[[#This Row],[takes]]) &gt; 0,HighlanderAbilities2Scenario0[[#This Row],[takes]]/SUM(HighlanderAbilities2Scenario0[takes]),0)</f>
        <v>0</v>
      </c>
      <c r="O8" s="12">
        <f>IF(HighlanderAbilities2Scenario0[[#This Row],[takes]]&gt;0,HighlanderAbilities2Scenario0[[#This Row],[wins]]/HighlanderAbilities2Scenario0[[#This Row],[takes]],0)</f>
        <v>0</v>
      </c>
      <c r="S8" s="18"/>
      <c r="U8" t="s">
        <v>178</v>
      </c>
      <c r="V8" s="16">
        <f>SUM(HighlanderAbilities4[takes])/SUM(HighlanderAbilities1[takes])</f>
        <v>0.27972027972027974</v>
      </c>
    </row>
    <row r="9" spans="1:22" x14ac:dyDescent="0.25">
      <c r="A9" t="s">
        <v>121</v>
      </c>
      <c r="B9" s="2">
        <f t="shared" ref="B9:B10" si="4">L9+L30+L51+L72+L93+L114</f>
        <v>53</v>
      </c>
      <c r="C9" s="2">
        <f t="shared" ref="C9:C10" si="5">M9+M30+M51+M72+M93+M114</f>
        <v>32</v>
      </c>
      <c r="D9" s="3">
        <f>IF(SUM(HighlanderAbilities2[[#This Row],[takes]]) &gt; 0,HighlanderAbilities2[[#This Row],[takes]]/SUM(HighlanderAbilities2[takes]),0)</f>
        <v>0.42399999999999999</v>
      </c>
      <c r="E9" s="3">
        <f>IF(HighlanderAbilities2[[#This Row],[takes]]&gt;0,HighlanderAbilities2[[#This Row],[wins]]/HighlanderAbilities2[[#This Row],[takes]],0)</f>
        <v>0.60377358490566035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0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3.0909090909090908</v>
      </c>
    </row>
    <row r="10" spans="1:22" x14ac:dyDescent="0.25">
      <c r="A10" s="10" t="s">
        <v>122</v>
      </c>
      <c r="B10" s="2">
        <f t="shared" si="4"/>
        <v>36</v>
      </c>
      <c r="C10" s="2">
        <f t="shared" si="5"/>
        <v>24</v>
      </c>
      <c r="D10" s="13">
        <f>IF(SUM(HighlanderAbilities2[[#This Row],[takes]]) &gt; 0,HighlanderAbilities2[[#This Row],[takes]]/SUM(HighlanderAbilities2[takes]),0)</f>
        <v>0.28799999999999998</v>
      </c>
      <c r="E10" s="13">
        <f>IF(HighlanderAbilities2[[#This Row],[takes]]&gt;0,HighlanderAbilities2[[#This Row],[wins]]/HighlanderAbilities2[[#This Row],[takes]],0)</f>
        <v>0.66666666666666663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</v>
      </c>
      <c r="M10" s="2">
        <f>COUNTIF(Scenario0[winner1-ability2],HighlanderAbilities2Scenario0[[#This Row],[ability]])+COUNTIF(Scenario0[winner2-ability2],HighlanderAbilities2Scenario0[[#This Row],[ability]])</f>
        <v>0</v>
      </c>
      <c r="N10" s="13">
        <f>IF(SUM(HighlanderAbilities2Scenario0[[#This Row],[takes]]) &gt; 0,HighlanderAbilities2Scenario0[[#This Row],[takes]]/SUM(HighlanderAbilities2Scenario0[takes]),0)</f>
        <v>1</v>
      </c>
      <c r="O10" s="13">
        <f>IF(HighlanderAbilities2Scenario0[[#This Row],[takes]]&gt;0,HighlanderAbilities2Scenario0[[#This Row],[wins]]/HighlanderAbilities2Scenario0[[#This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29</v>
      </c>
      <c r="C13" s="1">
        <f>M13+M34+M55+M76+M97+M118</f>
        <v>16</v>
      </c>
      <c r="D13" s="14">
        <f>IF(SUM(HighlanderAbilities3[[#This Row],[takes]]) &gt; 0,HighlanderAbilities3[[#This Row],[takes]]/SUM(HighlanderAbilities3[takes]),0)</f>
        <v>0.34523809523809523</v>
      </c>
      <c r="E13" s="14">
        <f>IF(HighlanderAbilities3[[#This Row],[takes]]&gt;0,HighlanderAbilities3[[#This Row],[wins]]/HighlanderAbilities3[[#This Row],[takes]],0)</f>
        <v>0.55172413793103448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0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38</v>
      </c>
      <c r="C14" s="2">
        <f t="shared" ref="C14:C15" si="7">M14+M35+M56+M77+M98+M119</f>
        <v>25</v>
      </c>
      <c r="D14" s="12">
        <f>IF(SUM(HighlanderAbilities3[[#This Row],[takes]]) &gt; 0,HighlanderAbilities3[[#This Row],[takes]]/SUM(HighlanderAbilities3[takes]),0)</f>
        <v>0.45238095238095238</v>
      </c>
      <c r="E14" s="12">
        <f>IF(HighlanderAbilities3[[#This Row],[takes]]&gt;0,HighlanderAbilities3[[#This Row],[wins]]/HighlanderAbilities3[[#This Row],[takes]],0)</f>
        <v>0.65789473684210531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17</v>
      </c>
      <c r="C15" s="1">
        <f t="shared" si="7"/>
        <v>13</v>
      </c>
      <c r="D15" s="15">
        <f>IF(SUM(HighlanderAbilities3[[#This Row],[takes]]) &gt; 0,HighlanderAbilities3[[#This Row],[takes]]/SUM(HighlanderAbilities3[takes]),0)</f>
        <v>0.20238095238095238</v>
      </c>
      <c r="E15" s="15">
        <f>IF(HighlanderAbilities3[[#This Row],[takes]]&gt;0,HighlanderAbilities3[[#This Row],[wins]]/HighlanderAbilities3[[#This Row],[takes]],0)</f>
        <v>0.76470588235294112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5" s="1">
        <f>COUNTIF(Scenario0[winner1-ability3],HighlanderAbilities3Scenario0[[#This Row],[ability]])+COUNTIF(Scenario0[winner2-ability3],HighlanderAbilities3Scenario0[[#This Row],[ability]])</f>
        <v>0</v>
      </c>
      <c r="N15" s="15">
        <f>IF(SUM(HighlanderAbilities3Scenario0[[#This Row],[takes]]) &gt; 0,HighlanderAbilities3Scenario0[[#This Row],[takes]]/SUM(HighlanderAbilities3Scenario0[takes]),0)</f>
        <v>0</v>
      </c>
      <c r="O15" s="15">
        <f>IF(HighlanderAbilities3Scenario0[[#This Row],[takes]]&gt;0,HighlanderAbilities3Scenario0[[#This Row],[wins]]/HighlanderAbilities3Scenario0[[#This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9</v>
      </c>
      <c r="C18" s="2">
        <f>M18+M39+M60+M81+M102+M123</f>
        <v>7</v>
      </c>
      <c r="D18" s="12">
        <f>IF(SUM(HighlanderAbilities4[[#This Row],[takes]]) &gt; 0,HighlanderAbilities4[[#This Row],[takes]]/SUM(HighlanderAbilities4[takes]),0)</f>
        <v>0.22500000000000001</v>
      </c>
      <c r="E18" s="12">
        <f>IF(HighlanderAbilities4[[#This Row],[takes]]&gt;0,HighlanderAbilities4[[#This Row],[wins]]/HighlanderAbilities4[[#This Row],[takes]],0)</f>
        <v>0.77777777777777779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24</v>
      </c>
      <c r="C19" s="2">
        <f t="shared" ref="C19:C20" si="9">M19+M40+M61+M82+M103+M124</f>
        <v>16</v>
      </c>
      <c r="D19" s="12">
        <f>IF(SUM(HighlanderAbilities4[[#This Row],[takes]]) &gt; 0,HighlanderAbilities4[[#This Row],[takes]]/SUM(HighlanderAbilities4[takes]),0)</f>
        <v>0.6</v>
      </c>
      <c r="E19" s="12">
        <f>IF(HighlanderAbilities4[[#This Row],[takes]]&gt;0,HighlanderAbilities4[[#This Row],[wins]]/HighlanderAbilities4[[#This Row],[takes]],0)</f>
        <v>0.66666666666666663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7</v>
      </c>
      <c r="C20" s="2">
        <f t="shared" si="9"/>
        <v>4</v>
      </c>
      <c r="D20" s="26">
        <f>IF(SUM(HighlanderAbilities4[[#This Row],[takes]]) &gt; 0,HighlanderAbilities4[[#This Row],[takes]]/SUM(HighlanderAbilities4[takes]),0)</f>
        <v>0.17499999999999999</v>
      </c>
      <c r="E20" s="26">
        <f>IF(HighlanderAbilities4[[#This Row],[takes]]&gt;0,HighlanderAbilities4[[#This Row],[wins]]/HighlanderAbilities4[[#This Row],[takes]],0)</f>
        <v>0.5714285714285714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20" s="25">
        <f>COUNTIF(Scenario0[winner1-ability4],HighlanderAbilities4Scenario0[[#This Row],[ability]])+COUNTIF(Scenario0[winner2-ability4],HighlanderAbilities4Scenario0[[#This Row],[ability]])</f>
        <v>0</v>
      </c>
      <c r="N20" s="26">
        <f>IF(SUM(HighlanderAbilities4Scenario0[[#This Row],[takes]]) &gt; 0,HighlanderAbilities4Scenario0[[#This Row],[takes]]/SUM(HighlanderAbilities4Scenario0[takes]),0)</f>
        <v>0</v>
      </c>
      <c r="O20" s="26">
        <f>IF(HighlanderAbilities4Scenario0[[#This Row],[takes]]&gt;0,HighlanderAbilities4Scenario0[[#This Row],[wins]]/HighlanderAbilities4Scenario0[[#This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</v>
      </c>
      <c r="M24">
        <f>COUNTIF(Scenario1[winner1-ability1],HighlanderAbilities1Scenario1[[#This Row],[ability]])+COUNTIF(Scenario1[winner2-ability1],HighlanderAbilities1Scenario1[[#This Row],[ability]])</f>
        <v>1</v>
      </c>
      <c r="N24" s="3">
        <f>IF(SUM(HighlanderAbilities1Scenario1[[#This Row],[takes]]) &gt; 0,HighlanderAbilities1Scenario1[[#This Row],[takes]]/SUM(HighlanderAbilities1Scenario1[takes]),0)</f>
        <v>1</v>
      </c>
      <c r="O24" s="3">
        <f>IF(HighlanderAbilities1Scenario1[[#This Row],[takes]]&gt;0,HighlanderAbilities1Scenario1[[#This Row],[wins]]/HighlanderAbilities1Scenario1[[#This Row],[takes]],0)</f>
        <v>1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0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1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6">
        <f>COUNTIF(Scenario1[winner1-ability1],HighlanderAbilities1Scenario1[[#This Row],[ability]])+COUNTIF(Scenario1[winner2-ability1],HighlanderAbilities1Scenario1[[#This Row],[ability]])</f>
        <v>0</v>
      </c>
      <c r="N26" s="3">
        <f>IF(SUM(HighlanderAbilities1Scenario1[[#This Row],[takes]]) &gt; 0,HighlanderAbilities1Scenario1[[#This Row],[takes]]/SUM(HighlanderAbilities1Scenario1[takes]),0)</f>
        <v>0</v>
      </c>
      <c r="O26" s="3">
        <f>IF(HighlanderAbilities1Scenario1[[#This Row],[takes]]&gt;0,HighlanderAbilities1Scenario1[[#This Row],[wins]]/HighlanderAbilities1Scenario1[[#This Row],[takes]],0)</f>
        <v>0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29" s="2">
        <f>COUNTIF(Scenario1[winner1-ability2],HighlanderAbilities2Scenario1[[#This Row],[ability]])+COUNTIF(Scenario1[winner2-ability2],HighlanderAbilities2Scenario1[[#This Row],[ability]])</f>
        <v>0</v>
      </c>
      <c r="N29" s="12">
        <f>IF(SUM(HighlanderAbilities2Scenario1[[#This Row],[takes]]) &gt; 0,HighlanderAbilities2Scenario1[[#This Row],[takes]]/SUM(HighlanderAbilities2Scenario1[takes]),0)</f>
        <v>0</v>
      </c>
      <c r="O29" s="12">
        <f>IF(HighlanderAbilities2Scenario1[[#This Row],[takes]]&gt;0,HighlanderAbilities2Scenario1[[#This Row],[wins]]/HighlanderAbilities2Scenario1[[#This Row],[takes]],0)</f>
        <v>0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0" s="2">
        <f>COUNTIF(Scenario1[winner1-ability2],HighlanderAbilities2Scenario1[[#This Row],[ability]])+COUNTIF(Scenario1[winner2-ability2],HighlanderAbilities2Scenario1[[#This Row],[ability]])</f>
        <v>0</v>
      </c>
      <c r="N30" s="3">
        <f>IF(SUM(HighlanderAbilities2Scenario1[[#This Row],[takes]]) &gt; 0,HighlanderAbilities2Scenario1[[#This Row],[takes]]/SUM(HighlanderAbilities2Scenario1[takes]),0)</f>
        <v>0</v>
      </c>
      <c r="O30" s="3">
        <f>IF(HighlanderAbilities2Scenario1[[#This Row],[takes]]&gt;0,HighlanderAbilities2Scenario1[[#This Row],[wins]]/HighlanderAbilities2Scenario1[[#This Row],[takes]],0)</f>
        <v>0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1" s="2">
        <f>COUNTIF(Scenario1[winner1-ability2],HighlanderAbilities2Scenario1[[#This Row],[ability]])+COUNTIF(Scenario1[winner2-ability2],HighlanderAbilities2Scenario1[[#This Row],[ability]])</f>
        <v>0</v>
      </c>
      <c r="N31" s="13">
        <f>IF(SUM(HighlanderAbilities2Scenario1[[#This Row],[takes]]) &gt; 0,HighlanderAbilities2Scenario1[[#This Row],[takes]]/SUM(HighlanderAbilities2Scenario1[takes]),0)</f>
        <v>0</v>
      </c>
      <c r="O31" s="13">
        <f>IF(HighlanderAbilities2Scenario1[[#This Row],[takes]]&gt;0,HighlanderAbilities2Scenario1[[#This Row],[wins]]/HighlanderAbilities2Scenario1[[#This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4" s="1">
        <f>COUNTIF(Scenario1[winner1-ability3],HighlanderAbilities3Scenario1[[#This Row],[ability]])+COUNTIF(Scenario1[winner2-ability3],HighlanderAbilities3Scenario1[[#This Row],[ability]])</f>
        <v>0</v>
      </c>
      <c r="N34" s="14">
        <f>IF(SUM(HighlanderAbilities3Scenario1[[#This Row],[takes]]) &gt; 0,HighlanderAbilities3Scenario1[[#This Row],[takes]]/SUM(HighlanderAbilities3Scenario1[takes]),0)</f>
        <v>0</v>
      </c>
      <c r="O34" s="14">
        <f>IF(HighlanderAbilities3Scenario1[[#This Row],[takes]]&gt;0,HighlanderAbilities3Scenario1[[#This Row],[wins]]/HighlanderAbilities3Scenario1[[#This Row],[takes]],0)</f>
        <v>0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6" s="1">
        <f>COUNTIF(Scenario1[winner1-ability3],HighlanderAbilities3Scenario1[[#This Row],[ability]])+COUNTIF(Scenario1[winner2-ability3],HighlanderAbilities3Scenario1[[#This Row],[ability]])</f>
        <v>0</v>
      </c>
      <c r="N36" s="15">
        <f>IF(SUM(HighlanderAbilities3Scenario1[[#This Row],[takes]]) &gt; 0,HighlanderAbilities3Scenario1[[#This Row],[takes]]/SUM(HighlanderAbilities3Scenario1[takes]),0)</f>
        <v>0</v>
      </c>
      <c r="O36" s="15">
        <f>IF(HighlanderAbilities3Scenario1[[#This Row],[takes]]&gt;0,HighlanderAbilities3Scenario1[[#This Row],[wins]]/HighlanderAbilities3Scenario1[[#This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2</v>
      </c>
      <c r="M45">
        <f>COUNTIF(Scenario2[winner1-ability1],HighlanderAbilities1Scenario2[[#This Row],[ability]])</f>
        <v>1</v>
      </c>
      <c r="N45" s="3">
        <f>IF(SUM(HighlanderAbilities1Scenario2[[#This Row],[takes]]) &gt; 0,HighlanderAbilities1Scenario2[[#This Row],[takes]]/SUM(HighlanderAbilities1Scenario2[takes]),0)</f>
        <v>0.14285714285714285</v>
      </c>
      <c r="O45" s="3">
        <f>IF(HighlanderAbilities1Scenario2[[#This Row],[takes]]&gt;0,HighlanderAbilities1Scenario2[[#This Row],[wins]]/HighlanderAbilities1Scenario2[[#This Row],[takes]],0)</f>
        <v>0.5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1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11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8</v>
      </c>
      <c r="M46">
        <f>COUNTIF(Scenario2[winner1-ability1],HighlanderAbilities1Scenario2[[#This Row],[ability]])</f>
        <v>5</v>
      </c>
      <c r="N46" s="3">
        <f>IF(SUM(HighlanderAbilities1Scenario2[[#This Row],[takes]]) &gt; 0,HighlanderAbilities1Scenario2[[#This Row],[takes]]/SUM(HighlanderAbilities1Scenario2[takes]),0)</f>
        <v>0.5714285714285714</v>
      </c>
      <c r="O46" s="3">
        <f>IF(HighlanderAbilities1Scenario2[[#This Row],[takes]]&gt;0,HighlanderAbilities1Scenario2[[#This Row],[wins]]/HighlanderAbilities1Scenario2[[#This Row],[takes]],0)</f>
        <v>0.625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5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4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0.2857142857142857</v>
      </c>
      <c r="O47" s="3">
        <f>IF(HighlanderAbilities1Scenario2[[#This Row],[takes]]&gt;0,HighlanderAbilities1Scenario2[[#This Row],[wins]]/HighlanderAbilities1Scenario2[[#This Row],[takes]],0)</f>
        <v>0.5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8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9</v>
      </c>
      <c r="M51" s="2">
        <f>COUNTIF(Scenario2[winner1-ability2],HighlanderAbilities2Scenario2[[#This Row],[ability]])</f>
        <v>5</v>
      </c>
      <c r="N51" s="3">
        <f>IF(SUM(HighlanderAbilities2Scenario2[[#This Row],[takes]]) &gt; 0,HighlanderAbilities2Scenario2[[#This Row],[takes]]/SUM(HighlanderAbilities2Scenario2[takes]),0)</f>
        <v>0.75</v>
      </c>
      <c r="O51" s="3">
        <f>IF(HighlanderAbilities2Scenario2[[#This Row],[takes]]&gt;0,HighlanderAbilities2Scenario2[[#This Row],[wins]]/HighlanderAbilities2Scenario2[[#This Row],[takes]],0)</f>
        <v>0.55555555555555558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3</v>
      </c>
      <c r="M52" s="2">
        <f>COUNTIF(Scenario2[winner1-ability2],HighlanderAbilities2Scenario2[[#This Row],[ability]])</f>
        <v>2</v>
      </c>
      <c r="N52" s="13">
        <f>IF(SUM(HighlanderAbilities2Scenario2[[#This Row],[takes]]) &gt; 0,HighlanderAbilities2Scenario2[[#This Row],[takes]]/SUM(HighlanderAbilities2Scenario2[takes]),0)</f>
        <v>0.25</v>
      </c>
      <c r="O52" s="13">
        <f>IF(HighlanderAbilities2Scenario2[[#This Row],[takes]]&gt;0,HighlanderAbilities2Scenario2[[#This Row],[wins]]/HighlanderAbilities2Scenario2[[#This Row],[takes]],0)</f>
        <v>0.66666666666666663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4</v>
      </c>
      <c r="N55" s="14">
        <f>IF(SUM(HighlanderAbilities3Scenario2[[#This Row],[takes]]) &gt; 0,HighlanderAbilities3Scenario2[[#This Row],[takes]]/SUM(HighlanderAbilities3Scenario2[takes]),0)</f>
        <v>0.5</v>
      </c>
      <c r="O55" s="14">
        <f>IF(HighlanderAbilities3Scenario2[[#This Row],[takes]]&gt;0,HighlanderAbilities3Scenario2[[#This Row],[wins]]/HighlanderAbilities3Scenario2[[#This Row],[takes]],0)</f>
        <v>1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2</v>
      </c>
      <c r="M56" s="2">
        <f>COUNTIF(Scenario2[winner1-ability3],HighlanderAbilities3Scenario2[[#This Row],[ability]])</f>
        <v>1</v>
      </c>
      <c r="N56" s="12">
        <f>IF(SUM(HighlanderAbilities3Scenario2[[#This Row],[takes]]) &gt; 0,HighlanderAbilities3Scenario2[[#This Row],[takes]]/SUM(HighlanderAbilities3Scenario2[takes]),0)</f>
        <v>0.25</v>
      </c>
      <c r="O56" s="12">
        <f>IF(HighlanderAbilities3Scenario2[[#This Row],[takes]]&gt;0,HighlanderAbilities3Scenario2[[#This Row],[wins]]/HighlanderAbilities3Scenario2[[#This Row],[takes]],0)</f>
        <v>0.5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2</v>
      </c>
      <c r="M57" s="1">
        <f>COUNTIF(Scenario2[winner1-ability3],HighlanderAbilities3Scenario2[[#This Row],[ability]])</f>
        <v>1</v>
      </c>
      <c r="N57" s="15">
        <f>IF(SUM(HighlanderAbilities3Scenario2[[#This Row],[takes]]) &gt; 0,HighlanderAbilities3Scenario2[[#This Row],[takes]]/SUM(HighlanderAbilities3Scenario2[takes]),0)</f>
        <v>0.25</v>
      </c>
      <c r="O57" s="15">
        <f>IF(HighlanderAbilities3Scenario2[[#This Row],[takes]]&gt;0,HighlanderAbilities3Scenario2[[#This Row],[wins]]/HighlanderAbilities3Scenario2[[#This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0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3</v>
      </c>
      <c r="M61" s="2">
        <f>COUNTIF(Scenario2[winner1-ability4],HighlanderAbilities4Scenario2[[#This Row],[ability]])</f>
        <v>3</v>
      </c>
      <c r="N61" s="12">
        <f>IF(SUM(HighlanderAbilities4Scenario2[[#This Row],[takes]]) &gt; 0,HighlanderAbilities4Scenario2[[#This Row],[takes]]/SUM(HighlanderAbilities4Scenario2[takes]),0)</f>
        <v>0.75</v>
      </c>
      <c r="O61" s="12">
        <f>IF(HighlanderAbilities4Scenario2[[#This Row],[takes]]&gt;0,HighlanderAbilities4Scenario2[[#This Row],[wins]]/HighlanderAbilities4Scenario2[[#This Row],[takes]],0)</f>
        <v>1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0.25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4.7619047619047616E-2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16</v>
      </c>
      <c r="M67">
        <f>COUNTIF(Scenario3[winner1-ability1],HighlanderAbilities1Scenario3[[#This Row],[ability]])</f>
        <v>10</v>
      </c>
      <c r="N67" s="3">
        <f>IF(SUM(HighlanderAbilities1Scenario3[[#This Row],[takes]]) &gt; 0,HighlanderAbilities1Scenario3[[#This Row],[takes]]/SUM(HighlanderAbilities1Scenario3[takes]),0)</f>
        <v>0.76190476190476186</v>
      </c>
      <c r="O67" s="3">
        <f>IF(HighlanderAbilities1Scenario3[[#This Row],[takes]]&gt;0,HighlanderAbilities1Scenario3[[#This Row],[wins]]/HighlanderAbilities1Scenario3[[#This Row],[takes]],0)</f>
        <v>0.625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5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8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4</v>
      </c>
      <c r="M68">
        <f>COUNTIF(Scenario3[winner1-ability1],HighlanderAbilities1Scenario3[[#This Row],[ability]])</f>
        <v>2</v>
      </c>
      <c r="N68" s="3">
        <f>IF(SUM(HighlanderAbilities1Scenario3[[#This Row],[takes]]) &gt; 0,HighlanderAbilities1Scenario3[[#This Row],[takes]]/SUM(HighlanderAbilities1Scenario3[takes]),0)</f>
        <v>0.19047619047619047</v>
      </c>
      <c r="O68" s="3">
        <f>IF(HighlanderAbilities1Scenario3[[#This Row],[takes]]&gt;0,HighlanderAbilities1Scenario3[[#This Row],[wins]]/HighlanderAbilities1Scenario3[[#This Row],[takes]],0)</f>
        <v>0.5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16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14</v>
      </c>
      <c r="M71" s="2">
        <f>COUNTIF(Scenario3[winner1-ability2],HighlanderAbilities2Scenario3[[#This Row],[ability]])</f>
        <v>7</v>
      </c>
      <c r="N71" s="12">
        <f>IF(SUM(HighlanderAbilities2Scenario3[[#This Row],[takes]]) &gt; 0,HighlanderAbilities2Scenario3[[#This Row],[takes]]/SUM(HighlanderAbilities2Scenario3[takes]),0)</f>
        <v>0.66666666666666663</v>
      </c>
      <c r="O71" s="12">
        <f>IF(HighlanderAbilities2Scenario3[[#This Row],[takes]]&gt;0,HighlanderAbilities2Scenario3[[#This Row],[wins]]/HighlanderAbilities2Scenario3[[#This Row],[takes]],0)</f>
        <v>0.5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6</v>
      </c>
      <c r="M72" s="2">
        <f>COUNTIF(Scenario3[winner1-ability2],HighlanderAbilities2Scenario3[[#This Row],[ability]])</f>
        <v>5</v>
      </c>
      <c r="N72" s="3">
        <f>IF(SUM(HighlanderAbilities2Scenario3[[#This Row],[takes]]) &gt; 0,HighlanderAbilities2Scenario3[[#This Row],[takes]]/SUM(HighlanderAbilities2Scenario3[takes]),0)</f>
        <v>0.2857142857142857</v>
      </c>
      <c r="O72" s="3">
        <f>IF(HighlanderAbilities2Scenario3[[#This Row],[takes]]&gt;0,HighlanderAbilities2Scenario3[[#This Row],[wins]]/HighlanderAbilities2Scenario3[[#This Row],[takes]],0)</f>
        <v>0.83333333333333337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4.7619047619047616E-2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8</v>
      </c>
      <c r="M76" s="1">
        <f>COUNTIF(Scenario3[winner1-ability3],HighlanderAbilities3Scenario3[[#This Row],[ability]])</f>
        <v>5</v>
      </c>
      <c r="N76" s="14">
        <f>IF(SUM(HighlanderAbilities3Scenario3[[#This Row],[takes]]) &gt; 0,HighlanderAbilities3Scenario3[[#This Row],[takes]]/SUM(HighlanderAbilities3Scenario3[takes]),0)</f>
        <v>0.4</v>
      </c>
      <c r="O76" s="14">
        <f>IF(HighlanderAbilities3Scenario3[[#This Row],[takes]]&gt;0,HighlanderAbilities3Scenario3[[#This Row],[wins]]/HighlanderAbilities3Scenario3[[#This Row],[takes]],0)</f>
        <v>0.625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11</v>
      </c>
      <c r="M77" s="2">
        <f>COUNTIF(Scenario3[winner1-ability3],HighlanderAbilities3Scenario3[[#This Row],[ability]])</f>
        <v>5</v>
      </c>
      <c r="N77" s="12">
        <f>IF(SUM(HighlanderAbilities3Scenario3[[#This Row],[takes]]) &gt; 0,HighlanderAbilities3Scenario3[[#This Row],[takes]]/SUM(HighlanderAbilities3Scenario3[takes]),0)</f>
        <v>0.55000000000000004</v>
      </c>
      <c r="O77" s="12">
        <f>IF(HighlanderAbilities3Scenario3[[#This Row],[takes]]&gt;0,HighlanderAbilities3Scenario3[[#This Row],[wins]]/HighlanderAbilities3Scenario3[[#This Row],[takes]],0)</f>
        <v>0.45454545454545453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8" s="1">
        <f>COUNTIF(Scenario3[winner1-ability3],HighlanderAbilities3Scenario3[[#This Row],[ability]])</f>
        <v>1</v>
      </c>
      <c r="N78" s="15">
        <f>IF(SUM(HighlanderAbilities3Scenario3[[#This Row],[takes]]) &gt; 0,HighlanderAbilities3Scenario3[[#This Row],[takes]]/SUM(HighlanderAbilities3Scenario3[takes]),0)</f>
        <v>0.05</v>
      </c>
      <c r="O78" s="15">
        <f>IF(HighlanderAbilities3Scenario3[[#This Row],[takes]]&gt;0,HighlanderAbilities3Scenario3[[#This Row],[wins]]/HighlanderAbilities3Scenario3[[#This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3</v>
      </c>
      <c r="M81" s="2">
        <f>COUNTIF(Scenario3[winner1-ability4],HighlanderAbilities4Scenario3[[#This Row],[ability]])</f>
        <v>2</v>
      </c>
      <c r="N81" s="12">
        <f>IF(SUM(HighlanderAbilities4Scenario3[[#This Row],[takes]]) &gt; 0,HighlanderAbilities4Scenario3[[#This Row],[takes]]/SUM(HighlanderAbilities4Scenario3[takes]),0)</f>
        <v>0.1875</v>
      </c>
      <c r="O81" s="12">
        <f>IF(HighlanderAbilities4Scenario3[[#This Row],[takes]]&gt;0,HighlanderAbilities4Scenario3[[#This Row],[wins]]/HighlanderAbilities4Scenario3[[#This Row],[takes]],0)</f>
        <v>0.66666666666666663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9</v>
      </c>
      <c r="M82" s="2">
        <f>COUNTIF(Scenario3[winner1-ability4],HighlanderAbilities4Scenario3[[#This Row],[ability]])</f>
        <v>6</v>
      </c>
      <c r="N82" s="12">
        <f>IF(SUM(HighlanderAbilities4Scenario3[[#This Row],[takes]]) &gt; 0,HighlanderAbilities4Scenario3[[#This Row],[takes]]/SUM(HighlanderAbilities4Scenario3[takes]),0)</f>
        <v>0.5625</v>
      </c>
      <c r="O82" s="12">
        <f>IF(HighlanderAbilities4Scenario3[[#This Row],[takes]]&gt;0,HighlanderAbilities4Scenario3[[#This Row],[wins]]/HighlanderAbilities4Scenario3[[#This Row],[takes]],0)</f>
        <v>0.66666666666666663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3" s="2">
        <f>COUNTIF(Scenario3[winner1-ability4],HighlanderAbilities4Scenario3[[#This Row],[ability]])</f>
        <v>2</v>
      </c>
      <c r="N83" s="26">
        <f>IF(SUM(HighlanderAbilities4Scenario3[[#This Row],[takes]]) &gt; 0,HighlanderAbilities4Scenario3[[#This Row],[takes]]/SUM(HighlanderAbilities4Scenario3[takes]),0)</f>
        <v>0.25</v>
      </c>
      <c r="O83" s="26">
        <f>IF(HighlanderAbilities4Scenario3[[#This Row],[takes]]&gt;0,HighlanderAbilities4Scenario3[[#This Row],[wins]]/HighlanderAbilities4Scenario3[[#This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8">
        <f>COUNTIF(Scenario4[winner1-ability1],HighlanderAbilities1Scenario4[[#This Row],[ability]])</f>
        <v>1</v>
      </c>
      <c r="N88" s="3">
        <f>IF(SUM(HighlanderAbilities1Scenario4[[#This Row],[takes]]) &gt; 0,HighlanderAbilities1Scenario4[[#This Row],[takes]]/SUM(HighlanderAbilities1Scenario4[takes]),0)</f>
        <v>1</v>
      </c>
      <c r="O88" s="3">
        <f>IF(HighlanderAbilities1Scenario4[[#This Row],[takes]]&gt;0,HighlanderAbilities1Scenario4[[#This Row],[wins]]/HighlanderAbilities1Scenario4[[#This Row],[takes]],0)</f>
        <v>1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1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9">
        <f>COUNTIF(Scenario4[winner1-ability1],HighlanderAbilities1Scenario4[[#This Row],[ability]])</f>
        <v>0</v>
      </c>
      <c r="N89" s="3">
        <f>IF(SUM(HighlanderAbilities1Scenario4[[#This Row],[takes]]) &gt; 0,HighlanderAbilities1Scenario4[[#This Row],[takes]]/SUM(HighlanderAbilities1Scenario4[takes]),0)</f>
        <v>0</v>
      </c>
      <c r="O89" s="3">
        <f>IF(HighlanderAbilities1Scenario4[[#This Row],[takes]]&gt;0,HighlanderAbilities1Scenario4[[#This Row],[wins]]/HighlanderAbilities1Scenario4[[#This Row],[takes]],0)</f>
        <v>0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</v>
      </c>
      <c r="M92" s="2">
        <f>COUNTIF(Scenario4[winner1-ability2],HighlanderAbilities2Scenario4[[#This Row],[ability]])</f>
        <v>1</v>
      </c>
      <c r="N92" s="12">
        <f>IF(SUM(HighlanderAbilities2Scenario4[[#This Row],[takes]]) &gt; 0,HighlanderAbilities2Scenario4[[#This Row],[takes]]/SUM(HighlanderAbilities2Scenario4[takes]),0)</f>
        <v>1</v>
      </c>
      <c r="O92" s="12">
        <f>IF(HighlanderAbilities2Scenario4[[#This Row],[takes]]&gt;0,HighlanderAbilities2Scenario4[[#This Row],[wins]]/HighlanderAbilities2Scenario4[[#This Row],[takes]],0)</f>
        <v>1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3" s="2">
        <f>COUNTIF(Scenario4[winner1-ability2],HighlanderAbilities2Scenario4[[#This Row],[ability]])</f>
        <v>0</v>
      </c>
      <c r="N93" s="3">
        <f>IF(SUM(HighlanderAbilities2Scenario4[[#This Row],[takes]]) &gt; 0,HighlanderAbilities2Scenario4[[#This Row],[takes]]/SUM(HighlanderAbilities2Scenario4[takes]),0)</f>
        <v>0</v>
      </c>
      <c r="O93" s="3">
        <f>IF(HighlanderAbilities2Scenario4[[#This Row],[takes]]&gt;0,HighlanderAbilities2Scenario4[[#This Row],[wins]]/HighlanderAbilities2Scenario4[[#This Row],[takes]],0)</f>
        <v>0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0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7" s="1">
        <f>COUNTIF(Scenario4[winner1-ability3],HighlanderAbilities3Scenario4[[#This Row],[ability]])</f>
        <v>0</v>
      </c>
      <c r="N97" s="14">
        <f>IF(SUM(HighlanderAbilities3Scenario4[[#This Row],[takes]]) &gt; 0,HighlanderAbilities3Scenario4[[#This Row],[takes]]/SUM(HighlanderAbilities3Scenario4[takes]),0)</f>
        <v>0</v>
      </c>
      <c r="O97" s="14">
        <f>IF(HighlanderAbilities3Scenario4[[#This Row],[takes]]&gt;0,HighlanderAbilities3Scenario4[[#This Row],[wins]]/HighlanderAbilities3Scenario4[[#This Row],[takes]],0)</f>
        <v>0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</v>
      </c>
      <c r="M98" s="2">
        <f>COUNTIF(Scenario4[winner1-ability3],HighlanderAbilities3Scenario4[[#This Row],[ability]])</f>
        <v>1</v>
      </c>
      <c r="N98" s="12">
        <f>IF(SUM(HighlanderAbilities3Scenario4[[#This Row],[takes]]) &gt; 0,HighlanderAbilities3Scenario4[[#This Row],[takes]]/SUM(HighlanderAbilities3Scenario4[takes]),0)</f>
        <v>1</v>
      </c>
      <c r="O98" s="12">
        <f>IF(HighlanderAbilities3Scenario4[[#This Row],[takes]]&gt;0,HighlanderAbilities3Scenario4[[#This Row],[wins]]/HighlanderAbilities3Scenario4[[#This Row],[takes]],0)</f>
        <v>1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0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2" s="2">
        <f>COUNTIF(Scenario4[winner1-ability4],HighlanderAbilities4Scenario4[[#This Row],[ability]])</f>
        <v>0</v>
      </c>
      <c r="N102" s="12">
        <f>IF(SUM(HighlanderAbilities4Scenario4[[#This Row],[takes]]) &gt; 0,HighlanderAbilities4Scenario4[[#This Row],[takes]]/SUM(HighlanderAbilities4Scenario4[takes]),0)</f>
        <v>0</v>
      </c>
      <c r="O102" s="12">
        <f>IF(HighlanderAbilities4Scenario4[[#This Row],[takes]]&gt;0,HighlanderAbilities4Scenario4[[#This Row],[wins]]/HighlanderAbilities4Scenario4[[#This Row],[takes]],0)</f>
        <v>0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3" s="2">
        <f>COUNTIF(Scenario4[winner1-ability4],HighlanderAbilities4Scenario4[[#This Row],[ability]])</f>
        <v>0</v>
      </c>
      <c r="N103" s="12">
        <f>IF(SUM(HighlanderAbilities4Scenario4[[#This Row],[takes]]) &gt; 0,HighlanderAbilities4Scenario4[[#This Row],[takes]]/SUM(HighlanderAbilities4Scenario4[takes]),0)</f>
        <v>0</v>
      </c>
      <c r="O103" s="12">
        <f>IF(HighlanderAbilities4Scenario4[[#This Row],[takes]]&gt;0,HighlanderAbilities4Scenario4[[#This Row],[wins]]/HighlanderAbilities4Scenario4[[#This Row],[takes]],0)</f>
        <v>0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</v>
      </c>
      <c r="M104" s="2">
        <f>COUNTIF(Scenario4[winner1-ability4],HighlanderAbilities4Scenario4[[#This Row],[ability]])</f>
        <v>1</v>
      </c>
      <c r="N104" s="26">
        <f>IF(SUM(HighlanderAbilities4Scenario4[[#This Row],[takes]]) &gt; 0,HighlanderAbilities4Scenario4[[#This Row],[takes]]/SUM(HighlanderAbilities4Scenario4[takes]),0)</f>
        <v>1</v>
      </c>
      <c r="O104" s="26">
        <f>IF(HighlanderAbilities4Scenario4[[#This Row],[takes]]&gt;0,HighlanderAbilities4Scenario4[[#This Row],[wins]]/HighlanderAbilities4Scenario4[[#This Row],[takes]],0)</f>
        <v>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6</v>
      </c>
      <c r="M108">
        <f>COUNTIF(Scenario5[winner1-ability1],HighlanderAbilities1Scenario5[[#This Row],[ability]])+COUNTIF(Scenario5[winner2-ability1],HighlanderAbilities1Scenario5[[#This Row],[ability]])</f>
        <v>4</v>
      </c>
      <c r="N108" s="3">
        <f>IF(SUM(HighlanderAbilities1Scenario5[[#This Row],[takes]]) &gt; 0,HighlanderAbilities1Scenario5[[#This Row],[takes]]/SUM(HighlanderAbilities1Scenario5[takes]),0)</f>
        <v>5.7142857142857141E-2</v>
      </c>
      <c r="O108" s="3">
        <f>IF(HighlanderAbilities1Scenario5[[#This Row],[takes]]&gt;0,HighlanderAbilities1Scenario5[[#This Row],[wins]]/HighlanderAbilities1Scenario5[[#This Row],[takes]],0)</f>
        <v>0.66666666666666663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6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73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57</v>
      </c>
      <c r="M109">
        <f>COUNTIF(Scenario5[winner1-ability1],HighlanderAbilities1Scenario5[[#This Row],[ability]])+COUNTIF(Scenario5[winner2-ability1],HighlanderAbilities1Scenario5[[#This Row],[ability]])</f>
        <v>34</v>
      </c>
      <c r="N109" s="3">
        <f>IF(SUM(HighlanderAbilities1Scenario5[[#This Row],[takes]]) &gt; 0,HighlanderAbilities1Scenario5[[#This Row],[takes]]/SUM(HighlanderAbilities1Scenario5[takes]),0)</f>
        <v>0.54285714285714282</v>
      </c>
      <c r="O109" s="3">
        <f>IF(HighlanderAbilities1Scenario5[[#This Row],[takes]]&gt;0,HighlanderAbilities1Scenario5[[#This Row],[wins]]/HighlanderAbilities1Scenario5[[#This Row],[takes]],0)</f>
        <v>0.59649122807017541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42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19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42</v>
      </c>
      <c r="M110">
        <f>COUNTIF(Scenario5[winner1-ability1],HighlanderAbilities1Scenario5[[#This Row],[ability]])+COUNTIF(Scenario5[winner2-ability1],HighlanderAbilities1Scenario5[[#This Row],[ability]])</f>
        <v>24</v>
      </c>
      <c r="N110" s="3">
        <f>IF(SUM(HighlanderAbilities1Scenario5[[#This Row],[takes]]) &gt; 0,HighlanderAbilities1Scenario5[[#This Row],[takes]]/SUM(HighlanderAbilities1Scenario5[takes]),0)</f>
        <v>0.4</v>
      </c>
      <c r="O110" s="3">
        <f>IF(HighlanderAbilities1Scenario5[[#This Row],[takes]]&gt;0,HighlanderAbilities1Scenario5[[#This Row],[wins]]/HighlanderAbilities1Scenario5[[#This Row],[takes]],0)</f>
        <v>0.5714285714285714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57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13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21</v>
      </c>
      <c r="M113" s="2">
        <f>COUNTIF(Scenario5[winner1-ability2],HighlanderAbilities2Scenario5[[#This Row],[ability]])+COUNTIF(Scenario5[winner2-ability2],HighlanderAbilities2Scenario5[[#This Row],[ability]])</f>
        <v>15</v>
      </c>
      <c r="N113" s="12">
        <f>IF(SUM(HighlanderAbilities2Scenario5[[#This Row],[takes]]) &gt; 0,HighlanderAbilities2Scenario5[[#This Row],[takes]]/SUM(HighlanderAbilities2Scenario5[takes]),0)</f>
        <v>0.23333333333333334</v>
      </c>
      <c r="O113" s="12">
        <f>IF(HighlanderAbilities2Scenario5[[#This Row],[takes]]&gt;0,HighlanderAbilities2Scenario5[[#This Row],[wins]]/HighlanderAbilities2Scenario5[[#This Row],[takes]],0)</f>
        <v>0.7142857142857143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38</v>
      </c>
      <c r="M114" s="2">
        <f>COUNTIF(Scenario5[winner1-ability2],HighlanderAbilities2Scenario5[[#This Row],[ability]])+COUNTIF(Scenario5[winner2-ability2],HighlanderAbilities2Scenario5[[#This Row],[ability]])</f>
        <v>22</v>
      </c>
      <c r="N114" s="3">
        <f>IF(SUM(HighlanderAbilities2Scenario5[[#This Row],[takes]]) &gt; 0,HighlanderAbilities2Scenario5[[#This Row],[takes]]/SUM(HighlanderAbilities2Scenario5[takes]),0)</f>
        <v>0.42222222222222222</v>
      </c>
      <c r="O114" s="3">
        <f>IF(HighlanderAbilities2Scenario5[[#This Row],[takes]]&gt;0,HighlanderAbilities2Scenario5[[#This Row],[wins]]/HighlanderAbilities2Scenario5[[#This Row],[takes]],0)</f>
        <v>0.57894736842105265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31</v>
      </c>
      <c r="M115" s="2">
        <f>COUNTIF(Scenario5[winner1-ability2],HighlanderAbilities2Scenario5[[#This Row],[ability]])+COUNTIF(Scenario5[winner2-ability2],HighlanderAbilities2Scenario5[[#This Row],[ability]])</f>
        <v>22</v>
      </c>
      <c r="N115" s="13">
        <f>IF(SUM(HighlanderAbilities2Scenario5[[#This Row],[takes]]) &gt; 0,HighlanderAbilities2Scenario5[[#This Row],[takes]]/SUM(HighlanderAbilities2Scenario5[takes]),0)</f>
        <v>0.34444444444444444</v>
      </c>
      <c r="O115" s="13">
        <f>IF(HighlanderAbilities2Scenario5[[#This Row],[takes]]&gt;0,HighlanderAbilities2Scenario5[[#This Row],[wins]]/HighlanderAbilities2Scenario5[[#This Row],[takes]],0)</f>
        <v>0.70967741935483875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17</v>
      </c>
      <c r="M118" s="1">
        <f>COUNTIF(Scenario5[winner1-ability3],HighlanderAbilities3Scenario5[[#This Row],[ability]])+COUNTIF(Scenario5[winner2-ability3],HighlanderAbilities3Scenario5[[#This Row],[ability]])</f>
        <v>7</v>
      </c>
      <c r="N118" s="14">
        <f>IF(SUM(HighlanderAbilities3Scenario5[[#This Row],[takes]]) &gt; 0,HighlanderAbilities3Scenario5[[#This Row],[takes]]/SUM(HighlanderAbilities3Scenario5[takes]),0)</f>
        <v>0.30909090909090908</v>
      </c>
      <c r="O118" s="14">
        <f>IF(HighlanderAbilities3Scenario5[[#This Row],[takes]]&gt;0,HighlanderAbilities3Scenario5[[#This Row],[wins]]/HighlanderAbilities3Scenario5[[#This Row],[takes]],0)</f>
        <v>0.41176470588235292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24</v>
      </c>
      <c r="M119" s="2">
        <f>COUNTIF(Scenario5[winner1-ability3],HighlanderAbilities3Scenario5[[#This Row],[ability]])+COUNTIF(Scenario5[winner2-ability3],HighlanderAbilities3Scenario5[[#This Row],[ability]])</f>
        <v>18</v>
      </c>
      <c r="N119" s="12">
        <f>IF(SUM(HighlanderAbilities3Scenario5[[#This Row],[takes]]) &gt; 0,HighlanderAbilities3Scenario5[[#This Row],[takes]]/SUM(HighlanderAbilities3Scenario5[takes]),0)</f>
        <v>0.43636363636363634</v>
      </c>
      <c r="O119" s="12">
        <f>IF(HighlanderAbilities3Scenario5[[#This Row],[takes]]&gt;0,HighlanderAbilities3Scenario5[[#This Row],[wins]]/HighlanderAbilities3Scenario5[[#This Row],[takes]],0)</f>
        <v>0.75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14</v>
      </c>
      <c r="M120" s="1">
        <f>COUNTIF(Scenario5[winner1-ability3],HighlanderAbilities3Scenario5[[#This Row],[ability]])+COUNTIF(Scenario5[winner2-ability3],HighlanderAbilities3Scenario5[[#This Row],[ability]])</f>
        <v>11</v>
      </c>
      <c r="N120" s="15">
        <f>IF(SUM(HighlanderAbilities3Scenario5[[#This Row],[takes]]) &gt; 0,HighlanderAbilities3Scenario5[[#This Row],[takes]]/SUM(HighlanderAbilities3Scenario5[takes]),0)</f>
        <v>0.25454545454545452</v>
      </c>
      <c r="O120" s="15">
        <f>IF(HighlanderAbilities3Scenario5[[#This Row],[takes]]&gt;0,HighlanderAbilities3Scenario5[[#This Row],[wins]]/HighlanderAbilities3Scenario5[[#This Row],[takes]],0)</f>
        <v>0.7857142857142857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6</v>
      </c>
      <c r="M123" s="2">
        <f>COUNTIF(Scenario5[winner1-ability4],HighlanderAbilities4Scenario5[[#This Row],[ability]])+COUNTIF(Scenario5[winner2-ability4],HighlanderAbilities4Scenario5[[#This Row],[ability]])</f>
        <v>5</v>
      </c>
      <c r="N123" s="12">
        <f>IF(SUM(HighlanderAbilities4Scenario5[[#This Row],[takes]]) &gt; 0,HighlanderAbilities4Scenario5[[#This Row],[takes]]/SUM(HighlanderAbilities4Scenario5[takes]),0)</f>
        <v>0.31578947368421051</v>
      </c>
      <c r="O123" s="12">
        <f>IF(HighlanderAbilities4Scenario5[[#This Row],[takes]]&gt;0,HighlanderAbilities4Scenario5[[#This Row],[wins]]/HighlanderAbilities4Scenario5[[#This Row],[takes]],0)</f>
        <v>0.83333333333333337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12</v>
      </c>
      <c r="M124" s="2">
        <f>COUNTIF(Scenario5[winner1-ability4],HighlanderAbilities4Scenario5[[#This Row],[ability]])+COUNTIF(Scenario5[winner2-ability4],HighlanderAbilities4Scenario5[[#This Row],[ability]])</f>
        <v>7</v>
      </c>
      <c r="N124" s="12">
        <f>IF(SUM(HighlanderAbilities4Scenario5[[#This Row],[takes]]) &gt; 0,HighlanderAbilities4Scenario5[[#This Row],[takes]]/SUM(HighlanderAbilities4Scenario5[takes]),0)</f>
        <v>0.63157894736842102</v>
      </c>
      <c r="O124" s="12">
        <f>IF(HighlanderAbilities4Scenario5[[#This Row],[takes]]&gt;0,HighlanderAbilities4Scenario5[[#This Row],[wins]]/HighlanderAbilities4Scenario5[[#This Row],[takes]],0)</f>
        <v>0.58333333333333337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</v>
      </c>
      <c r="M125" s="2">
        <f>COUNTIF(Scenario5[winner1-ability4],HighlanderAbilities4Scenario5[[#This Row],[ability]])+COUNTIF(Scenario5[winner2-ability4],HighlanderAbilities4Scenario5[[#This Row],[ability]])</f>
        <v>1</v>
      </c>
      <c r="N125" s="26">
        <f>IF(SUM(HighlanderAbilities4Scenario5[[#This Row],[takes]]) &gt; 0,HighlanderAbilities4Scenario5[[#This Row],[takes]]/SUM(HighlanderAbilities4Scenario5[takes]),0)</f>
        <v>5.2631578947368418E-2</v>
      </c>
      <c r="O125" s="26">
        <f>IF(HighlanderAbilities4Scenario5[[#This Row],[takes]]&gt;0,HighlanderAbilities4Scenario5[[#This Row],[wins]]/HighlanderAbilities4Scenario5[[#This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G27" sqref="G27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0.28965517241379313</v>
      </c>
    </row>
    <row r="3" spans="1:22" x14ac:dyDescent="0.25">
      <c r="A3" t="s">
        <v>49</v>
      </c>
      <c r="B3">
        <f>L3+L24+L45+L66+L87+L108</f>
        <v>43</v>
      </c>
      <c r="C3">
        <f>M3+M24+M45+M66+M87+M108</f>
        <v>15</v>
      </c>
      <c r="D3" s="3">
        <f>IF(SUM(DruidAbilities1[[#This Row],[takes]]) &gt; 0,DruidAbilities1[[#This Row],[takes]]/SUM(DruidAbilities1[takes]),0)</f>
        <v>0.29655172413793102</v>
      </c>
      <c r="E3" s="3">
        <f>IF(DruidAbilities1[[#This Row],[takes]]&gt;0,DruidAbilities1[[#This Row],[wins]]/DruidAbilities1[[#This Row],[takes]],0)</f>
        <v>0.34883720930232559</v>
      </c>
      <c r="G3">
        <v>1</v>
      </c>
      <c r="H3">
        <f>R3+R24+R45+R66+R87+R108</f>
        <v>71</v>
      </c>
      <c r="I3" s="18">
        <f>S3+S24+S45+S66+S87+S108</f>
        <v>102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1</v>
      </c>
      <c r="M3">
        <f>COUNTIF(Scenario0[winner1-ability1],DruidAbilities1Scenario0[[#This Row],[ability]])+COUNTIF(Scenario0[winner2-ability1],DruidAbilities1Scenario0[[#This Row],[ability]])</f>
        <v>1</v>
      </c>
      <c r="N3" s="3">
        <f>IF(SUM(DruidAbilities1Scenario0[[#This Row],[takes]]) &gt; 0,DruidAbilities1Scenario0[[#This Row],[takes]]/SUM(DruidAbilities1Scenario0[takes]),0)</f>
        <v>1</v>
      </c>
      <c r="O3" s="3">
        <f>IF(DruidAbilities1Scenario0[[#This Row],[takes]]&gt;0,DruidAbilities1Scenario0[[#This Row],[wins]]/DruidAbilities1Scenario0[[#This Row],[takes]],0)</f>
        <v>1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0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</v>
      </c>
      <c r="U3" t="s">
        <v>196</v>
      </c>
      <c r="V3" s="16">
        <f>H5/SUM(DruidEquip[staff])</f>
        <v>0.22068965517241379</v>
      </c>
    </row>
    <row r="4" spans="1:22" x14ac:dyDescent="0.25">
      <c r="A4" t="s">
        <v>89</v>
      </c>
      <c r="B4">
        <f t="shared" ref="B4:B5" si="0">L4+L25+L46+L67+L88+L109</f>
        <v>38</v>
      </c>
      <c r="C4">
        <f t="shared" ref="C4:C5" si="1">M4+M25+M46+M67+M88+M109</f>
        <v>13</v>
      </c>
      <c r="D4" s="3">
        <f>IF(SUM(DruidAbilities1[[#This Row],[takes]]) &gt; 0,DruidAbilities1[[#This Row],[takes]]/SUM(DruidAbilities1[takes]),0)</f>
        <v>0.2620689655172414</v>
      </c>
      <c r="E4" s="3">
        <f>IF(DruidAbilities1[[#This Row],[takes]]&gt;0,DruidAbilities1[[#This Row],[wins]]/DruidAbilities1[[#This Row],[takes]],0)</f>
        <v>0.34210526315789475</v>
      </c>
      <c r="G4">
        <v>2</v>
      </c>
      <c r="H4">
        <f t="shared" ref="H4:H5" si="2">R4+R25+R46+R67+R88+R109</f>
        <v>42</v>
      </c>
      <c r="I4" s="18">
        <f t="shared" ref="I4:I5" si="3">S4+S25+S46+S67+S88+S109</f>
        <v>21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4">
        <f>COUNTIF(Scenario0[winner1-ability1],DruidAbilities1Scenario0[[#This Row],[ability]])+COUNTIF(Scenario0[winner2-ability1],DruidAbilities1Scenario0[[#This Row],[ability]])</f>
        <v>0</v>
      </c>
      <c r="N4" s="3">
        <f>IF(SUM(DruidAbilities1Scenario0[[#This Row],[takes]]) &gt; 0,DruidAbilities1Scenario0[[#This Row],[takes]]/SUM(DruidAbilities1Scenario0[takes]),0)</f>
        <v>0</v>
      </c>
      <c r="O4" s="3">
        <f>IF(DruidAbilities1Scenario0[[#This Row],[takes]]&gt;0,DruidAbilities1Scenario0[[#This Row],[wins]]/DruidAbilities1Scenario0[[#This Row],[takes]],0)</f>
        <v>0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1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4" t="s">
        <v>179</v>
      </c>
      <c r="V4" s="3">
        <f>DruidEquip[[#This Row],[chestpiece]]/SUM(DruidEquip[chestpiece])</f>
        <v>0.14482758620689656</v>
      </c>
    </row>
    <row r="5" spans="1:22" x14ac:dyDescent="0.25">
      <c r="A5" t="s">
        <v>126</v>
      </c>
      <c r="B5">
        <f t="shared" si="0"/>
        <v>64</v>
      </c>
      <c r="C5">
        <f t="shared" si="1"/>
        <v>17</v>
      </c>
      <c r="D5" s="3">
        <f>IF(SUM(DruidAbilities1[[#This Row],[takes]]) &gt; 0,DruidAbilities1[[#This Row],[takes]]/SUM(DruidAbilities1[takes]),0)</f>
        <v>0.44137931034482758</v>
      </c>
      <c r="E5" s="3">
        <f>IF(DruidAbilities1[[#This Row],[takes]]&gt;0,DruidAbilities1[[#This Row],[wins]]/DruidAbilities1[[#This Row],[takes]],0)</f>
        <v>0.265625</v>
      </c>
      <c r="G5">
        <v>3</v>
      </c>
      <c r="H5">
        <f t="shared" si="2"/>
        <v>32</v>
      </c>
      <c r="I5" s="18">
        <f t="shared" si="3"/>
        <v>22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0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5" t="s">
        <v>180</v>
      </c>
      <c r="V5" s="16">
        <f>DruidEquip[[#This Row],[chestpiece]]/SUM(DruidEquip[chestpiece])</f>
        <v>0.15172413793103448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0.92413793103448272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0.71034482758620687</v>
      </c>
    </row>
    <row r="8" spans="1:22" x14ac:dyDescent="0.25">
      <c r="A8" s="2" t="s">
        <v>71</v>
      </c>
      <c r="B8" s="2">
        <f>L8+L29+L50+L71+L92+L113</f>
        <v>41</v>
      </c>
      <c r="C8" s="2">
        <f>M8+M29+M50+M71+M92+M113</f>
        <v>18</v>
      </c>
      <c r="D8" s="12">
        <f>IF(SUM(DruidAbilities2[[#This Row],[takes]]) &gt; 0,DruidAbilities2[[#This Row],[takes]]/SUM(DruidAbilities2[takes]),0)</f>
        <v>0.30597014925373134</v>
      </c>
      <c r="E8" s="12">
        <f>IF(DruidAbilities2[[#This Row],[takes]]&gt;0,DruidAbilities2[[#This Row],[wins]]/DruidAbilities2[[#This Row],[takes]],0)</f>
        <v>0.43902439024390244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8" s="2">
        <f>COUNTIF(Scenario0[winner1-ability2],DruidAbilities2Scenario0[[#This Row],[ability]])+COUNTIF(Scenario0[winner2-ability2],DruidAbilities2Scenario0[[#This Row],[ability]])</f>
        <v>0</v>
      </c>
      <c r="N8" s="12">
        <f>IF(SUM(DruidAbilities2Scenario0[[#This Row],[takes]]) &gt; 0,DruidAbilities2Scenario0[[#This Row],[takes]]/SUM(DruidAbilities2Scenario0[takes]),0)</f>
        <v>0</v>
      </c>
      <c r="O8" s="12">
        <f>IF(DruidAbilities2Scenario0[[#This Row],[takes]]&gt;0,DruidAbilities2Scenario0[[#This Row],[wins]]/DruidAbilities2Scenario0[[#This Row],[takes]],0)</f>
        <v>0</v>
      </c>
      <c r="S8" s="18"/>
      <c r="U8" t="s">
        <v>178</v>
      </c>
      <c r="V8" s="16">
        <f>SUM(DruidAbilities4[takes])/SUM(DruidAbilities1[takes])</f>
        <v>0.47586206896551725</v>
      </c>
    </row>
    <row r="9" spans="1:22" x14ac:dyDescent="0.25">
      <c r="A9" t="s">
        <v>50</v>
      </c>
      <c r="B9" s="2">
        <f t="shared" ref="B9:B10" si="4">L9+L30+L51+L72+L93+L114</f>
        <v>30</v>
      </c>
      <c r="C9" s="2">
        <f t="shared" ref="C9:C10" si="5">M9+M30+M51+M72+M93+M114</f>
        <v>7</v>
      </c>
      <c r="D9" s="3">
        <f>IF(SUM(DruidAbilities2[[#This Row],[takes]]) &gt; 0,DruidAbilities2[[#This Row],[takes]]/SUM(DruidAbilities2[takes]),0)</f>
        <v>0.22388059701492538</v>
      </c>
      <c r="E9" s="3">
        <f>IF(DruidAbilities2[[#This Row],[takes]]&gt;0,DruidAbilities2[[#This Row],[wins]]/DruidAbilities2[[#This Row],[takes]],0)</f>
        <v>0.23333333333333334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9" s="2">
        <f>COUNTIF(Scenario0[winner1-ability2],DruidAbilities2Scenario0[[#This Row],[ability]])+COUNTIF(Scenario0[winner2-ability2],DruidAbilities2Scenario0[[#This Row],[ability]])</f>
        <v>0</v>
      </c>
      <c r="N9" s="3">
        <f>IF(SUM(DruidAbilities2Scenario0[[#This Row],[takes]]) &gt; 0,DruidAbilities2Scenario0[[#This Row],[takes]]/SUM(DruidAbilities2Scenario0[takes]),0)</f>
        <v>0</v>
      </c>
      <c r="O9" s="3">
        <f>IF(DruidAbilities2Scenario0[[#This Row],[takes]]&gt;0,DruidAbilities2Scenario0[[#This Row],[wins]]/DruidAbilities2Scenario0[[#This Row],[takes]],0)</f>
        <v>0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2.9172413793103447</v>
      </c>
    </row>
    <row r="10" spans="1:22" x14ac:dyDescent="0.25">
      <c r="A10" s="10" t="s">
        <v>84</v>
      </c>
      <c r="B10" s="2">
        <f t="shared" si="4"/>
        <v>63</v>
      </c>
      <c r="C10" s="2">
        <f t="shared" si="5"/>
        <v>18</v>
      </c>
      <c r="D10" s="13">
        <f>IF(SUM(DruidAbilities2[[#This Row],[takes]]) &gt; 0,DruidAbilities2[[#This Row],[takes]]/SUM(DruidAbilities2[takes]),0)</f>
        <v>0.47014925373134331</v>
      </c>
      <c r="E10" s="13">
        <f>IF(DruidAbilities2[[#This Row],[takes]]&gt;0,DruidAbilities2[[#This Row],[wins]]/DruidAbilities2[[#This Row],[takes]],0)</f>
        <v>0.2857142857142857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10" s="2">
        <f>COUNTIF(Scenario0[winner1-ability2],DruidAbilities2Scenario0[[#This Row],[ability]])+COUNTIF(Scenario0[winner2-ability2],DruidAbilities2Scenario0[[#This Row],[ability]])</f>
        <v>0</v>
      </c>
      <c r="N10" s="13">
        <f>IF(SUM(DruidAbilities2Scenario0[[#This Row],[takes]]) &gt; 0,DruidAbilities2Scenario0[[#This Row],[takes]]/SUM(DruidAbilities2Scenario0[takes]),0)</f>
        <v>0</v>
      </c>
      <c r="O10" s="13">
        <f>IF(DruidAbilities2Scenario0[[#This Row],[takes]]&gt;0,DruidAbilities2Scenario0[[#This Row],[wins]]/DruidAbilities2Scenario0[[#This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22</v>
      </c>
      <c r="C13" s="1">
        <f>M13+M34+M55+M76+M97+M118</f>
        <v>7</v>
      </c>
      <c r="D13" s="14">
        <f>IF(SUM(DruidAbilities3[[#This Row],[takes]]) &gt; 0,DruidAbilities3[[#This Row],[takes]]/SUM(DruidAbilities3[takes]),0)</f>
        <v>0.21359223300970873</v>
      </c>
      <c r="E13" s="14">
        <f>IF(DruidAbilities3[[#This Row],[takes]]&gt;0,DruidAbilities3[[#This Row],[wins]]/DruidAbilities3[[#This Row],[takes]],0)</f>
        <v>0.31818181818181818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3" s="1">
        <f>COUNTIF(Scenario0[winner1-ability3],DruidAbilities3Scenario0[[#This Row],[ability]])+COUNTIF(Scenario0[winner2-ability3],DruidAbilities3Scenario0[[#This Row],[ability]])</f>
        <v>0</v>
      </c>
      <c r="N13" s="14">
        <f>IF(SUM(DruidAbilities3Scenario0[[#This Row],[takes]]) &gt; 0,DruidAbilities3Scenario0[[#This Row],[takes]]/SUM(DruidAbilities3Scenario0[takes]),0)</f>
        <v>0</v>
      </c>
      <c r="O13" s="14">
        <f>IF(DruidAbilities3Scenario0[[#This Row],[takes]]&gt;0,DruidAbilities3Scenario0[[#This Row],[wins]]/DruidAbilities3Scenario0[[#This Row],[takes]],0)</f>
        <v>0</v>
      </c>
      <c r="S13" s="18"/>
    </row>
    <row r="14" spans="1:22" x14ac:dyDescent="0.25">
      <c r="A14" s="2" t="s">
        <v>127</v>
      </c>
      <c r="B14" s="2">
        <f t="shared" ref="B14:B15" si="6">L14+L35+L56+L77+L98+L119</f>
        <v>51</v>
      </c>
      <c r="C14" s="2">
        <f t="shared" ref="C14:C15" si="7">M14+M35+M56+M77+M98+M119</f>
        <v>20</v>
      </c>
      <c r="D14" s="12">
        <f>IF(SUM(DruidAbilities3[[#This Row],[takes]]) &gt; 0,DruidAbilities3[[#This Row],[takes]]/SUM(DruidAbilities3[takes]),0)</f>
        <v>0.49514563106796117</v>
      </c>
      <c r="E14" s="12">
        <f>IF(DruidAbilities3[[#This Row],[takes]]&gt;0,DruidAbilities3[[#This Row],[wins]]/DruidAbilities3[[#This Row],[takes]],0)</f>
        <v>0.39215686274509803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4" s="2">
        <f>COUNTIF(Scenario0[winner1-ability3],DruidAbilities3Scenario0[[#This Row],[ability]])+COUNTIF(Scenario0[winner2-ability3],DruidAbilities3Scenario0[[#This Row],[ability]])</f>
        <v>0</v>
      </c>
      <c r="N14" s="12">
        <f>IF(SUM(DruidAbilities3Scenario0[[#This Row],[takes]]) &gt; 0,DruidAbilities3Scenario0[[#This Row],[takes]]/SUM(DruidAbilities3Scenario0[takes]),0)</f>
        <v>0</v>
      </c>
      <c r="O14" s="12">
        <f>IF(DruidAbilities3Scenario0[[#This Row],[takes]]&gt;0,DruidAbilities3Scenario0[[#This Row],[wins]]/DruidAbilities3Scenario0[[#This Row],[takes]],0)</f>
        <v>0</v>
      </c>
      <c r="S14" s="18"/>
    </row>
    <row r="15" spans="1:22" x14ac:dyDescent="0.25">
      <c r="A15" s="11" t="s">
        <v>90</v>
      </c>
      <c r="B15" s="1">
        <f t="shared" si="6"/>
        <v>30</v>
      </c>
      <c r="C15" s="1">
        <f t="shared" si="7"/>
        <v>13</v>
      </c>
      <c r="D15" s="15">
        <f>IF(SUM(DruidAbilities3[[#This Row],[takes]]) &gt; 0,DruidAbilities3[[#This Row],[takes]]/SUM(DruidAbilities3[takes]),0)</f>
        <v>0.29126213592233008</v>
      </c>
      <c r="E15" s="15">
        <f>IF(DruidAbilities3[[#This Row],[takes]]&gt;0,DruidAbilities3[[#This Row],[wins]]/DruidAbilities3[[#This Row],[takes]],0)</f>
        <v>0.43333333333333335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5" s="1">
        <f>COUNTIF(Scenario0[winner1-ability3],DruidAbilities3Scenario0[[#This Row],[ability]])+COUNTIF(Scenario0[winner2-ability3],DruidAbilities3Scenario0[[#This Row],[ability]])</f>
        <v>0</v>
      </c>
      <c r="N15" s="15">
        <f>IF(SUM(DruidAbilities3Scenario0[[#This Row],[takes]]) &gt; 0,DruidAbilities3Scenario0[[#This Row],[takes]]/SUM(DruidAbilities3Scenario0[takes]),0)</f>
        <v>0</v>
      </c>
      <c r="O15" s="15">
        <f>IF(DruidAbilities3Scenario0[[#This Row],[takes]]&gt;0,DruidAbilities3Scenario0[[#This Row],[wins]]/DruidAbilities3Scenario0[[#This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28</v>
      </c>
      <c r="C18" s="2">
        <f>M18+M39+M60+M81+M102+M123</f>
        <v>15</v>
      </c>
      <c r="D18" s="12">
        <f>IF(SUM(DruidAbilities4[[#This Row],[takes]]) &gt; 0,DruidAbilities4[[#This Row],[takes]]/SUM(DruidAbilities4[takes]),0)</f>
        <v>0.40579710144927539</v>
      </c>
      <c r="E18" s="12">
        <f>IF(DruidAbilities4[[#This Row],[takes]]&gt;0,DruidAbilities4[[#This Row],[wins]]/DruidAbilities4[[#This Row],[takes]],0)</f>
        <v>0.5357142857142857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8" s="2">
        <f>COUNTIF(Scenario0[winner1-ability4],DruidAbilities4Scenario0[[#This Row],[ability]])+COUNTIF(Scenario0[winner2-ability4],DruidAbilities4Scenario0[[#This Row],[ability]])</f>
        <v>0</v>
      </c>
      <c r="N18" s="12">
        <f>IF(SUM(DruidAbilities4Scenario0[[#This Row],[takes]]) &gt; 0,DruidAbilities4Scenario0[[#This Row],[takes]]/SUM(DruidAbilities4Scenario0[takes]),0)</f>
        <v>0</v>
      </c>
      <c r="O18" s="12">
        <f>IF(DruidAbilities4Scenario0[[#This Row],[takes]]&gt;0,DruidAbilities4Scenario0[[#This Row],[wins]]/DruidAbilities4Scenario0[[#This Row],[takes]],0)</f>
        <v>0</v>
      </c>
      <c r="S18" s="18"/>
    </row>
    <row r="19" spans="1:20" x14ac:dyDescent="0.25">
      <c r="A19" s="2" t="s">
        <v>52</v>
      </c>
      <c r="B19" s="2">
        <f t="shared" ref="B19:B20" si="8">L19+L40+L61+L82+L103+L124</f>
        <v>26</v>
      </c>
      <c r="C19" s="2">
        <f t="shared" ref="C19:C20" si="9">M19+M40+M61+M82+M103+M124</f>
        <v>6</v>
      </c>
      <c r="D19" s="12">
        <f>IF(SUM(DruidAbilities4[[#This Row],[takes]]) &gt; 0,DruidAbilities4[[#This Row],[takes]]/SUM(DruidAbilities4[takes]),0)</f>
        <v>0.37681159420289856</v>
      </c>
      <c r="E19" s="12">
        <f>IF(DruidAbilities4[[#This Row],[takes]]&gt;0,DruidAbilities4[[#This Row],[wins]]/DruidAbilities4[[#This Row],[takes]],0)</f>
        <v>0.23076923076923078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9" s="2">
        <f>COUNTIF(Scenario0[winner1-ability4],DruidAbilities4Scenario0[[#This Row],[ability]])+COUNTIF(Scenario0[winner2-ability4],DruidAbilities4Scenario0[[#This Row],[ability]])</f>
        <v>0</v>
      </c>
      <c r="N19" s="12">
        <f>IF(SUM(DruidAbilities4Scenario0[[#This Row],[takes]]) &gt; 0,DruidAbilities4Scenario0[[#This Row],[takes]]/SUM(DruidAbilities4Scenario0[takes]),0)</f>
        <v>0</v>
      </c>
      <c r="O19" s="12">
        <f>IF(DruidAbilities4Scenario0[[#This Row],[takes]]&gt;0,DruidAbilities4Scenario0[[#This Row],[wins]]/DruidAbilities4Scenario0[[#This Row],[takes]],0)</f>
        <v>0</v>
      </c>
      <c r="S19" s="18"/>
    </row>
    <row r="20" spans="1:20" ht="15.75" thickBot="1" x14ac:dyDescent="0.3">
      <c r="A20" s="10" t="s">
        <v>129</v>
      </c>
      <c r="B20" s="2">
        <f t="shared" si="8"/>
        <v>15</v>
      </c>
      <c r="C20" s="2">
        <f t="shared" si="9"/>
        <v>10</v>
      </c>
      <c r="D20" s="26">
        <f>IF(SUM(DruidAbilities4[[#This Row],[takes]]) &gt; 0,DruidAbilities4[[#This Row],[takes]]/SUM(DruidAbilities4[takes]),0)</f>
        <v>0.21739130434782608</v>
      </c>
      <c r="E20" s="26">
        <f>IF(DruidAbilities4[[#This Row],[takes]]&gt;0,DruidAbilities4[[#This Row],[wins]]/DruidAbilities4[[#This Row],[takes]],0)</f>
        <v>0.66666666666666663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20" s="25">
        <f>COUNTIF(Scenario0[winner1-ability4],DruidAbilities4Scenario0[[#This Row],[ability]])+COUNTIF(Scenario0[winner2-ability4],DruidAbilities4Scenario0[[#This Row],[ability]])</f>
        <v>0</v>
      </c>
      <c r="N20" s="26">
        <f>IF(SUM(DruidAbilities4Scenario0[[#This Row],[takes]]) &gt; 0,DruidAbilities4Scenario0[[#This Row],[takes]]/SUM(DruidAbilities4Scenario0[takes]),0)</f>
        <v>0</v>
      </c>
      <c r="O20" s="26">
        <f>IF(DruidAbilities4Scenario0[[#This Row],[takes]]&gt;0,DruidAbilities4Scenario0[[#This Row],[wins]]/DruidAbilities4Scenario0[[#This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4">
        <f>COUNTIF(Scenario1[winner1-ability1],DruidAbilities1Scenario1[[#This Row],[ability]])+COUNTIF(Scenario1[winner2-ability1],DruidAbilities1Scenario1[[#This Row],[ability]])</f>
        <v>0</v>
      </c>
      <c r="N24" s="3">
        <f>IF(SUM(DruidAbilities1Scenario1[[#This Row],[takes]]) &gt; 0,DruidAbilities1Scenario1[[#This Row],[takes]]/SUM(DruidAbilities1Scenario1[takes]),0)</f>
        <v>0</v>
      </c>
      <c r="O24" s="3">
        <f>IF(DruidAbilities1Scenario1[[#This Row],[takes]]&gt;0,DruidAbilities1Scenario1[[#This Row],[wins]]/DruidAbilities1Scenario1[[#This Row],[takes]],0)</f>
        <v>0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1</v>
      </c>
      <c r="M25">
        <f>COUNTIF(Scenario1[winner1-ability1],DruidAbilities1Scenario1[[#This Row],[ability]])+COUNTIF(Scenario1[winner2-ability1],DruidAbilities1Scenario1[[#This Row],[ability]])</f>
        <v>0</v>
      </c>
      <c r="N25" s="3">
        <f>IF(SUM(DruidAbilities1Scenario1[[#This Row],[takes]]) &gt; 0,DruidAbilities1Scenario1[[#This Row],[takes]]/SUM(DruidAbilities1Scenario1[takes]),0)</f>
        <v>1</v>
      </c>
      <c r="O25" s="3">
        <f>IF(DruidAbilities1Scenario1[[#This Row],[takes]]&gt;0,DruidAbilities1Scenario1[[#This Row],[wins]]/DruidAbilities1Scenario1[[#This Row],[takes]],0)</f>
        <v>0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29" s="2">
        <f>COUNTIF(Scenario1[winner1-ability2],DruidAbilities2Scenario1[[#This Row],[ability]])+COUNTIF(Scenario1[winner2-ability2],DruidAbilities2Scenario1[[#This Row],[ability]])</f>
        <v>0</v>
      </c>
      <c r="N29" s="12">
        <f>IF(SUM(DruidAbilities2Scenario1[[#This Row],[takes]]) &gt; 0,DruidAbilities2Scenario1[[#This Row],[takes]]/SUM(DruidAbilities2Scenario1[takes]),0)</f>
        <v>0</v>
      </c>
      <c r="O29" s="12">
        <f>IF(DruidAbilities2Scenario1[[#This Row],[takes]]&gt;0,DruidAbilities2Scenario1[[#This Row],[wins]]/DruidAbilities2Scenario1[[#This Row],[takes]],0)</f>
        <v>0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30" s="2">
        <f>COUNTIF(Scenario1[winner1-ability2],DruidAbilities2Scenario1[[#This Row],[ability]])+COUNTIF(Scenario1[winner2-ability2],DruidAbilities2Scenario1[[#This Row],[ability]])</f>
        <v>0</v>
      </c>
      <c r="N30" s="3">
        <f>IF(SUM(DruidAbilities2Scenario1[[#This Row],[takes]]) &gt; 0,DruidAbilities2Scenario1[[#This Row],[takes]]/SUM(DruidAbilities2Scenario1[takes]),0)</f>
        <v>0</v>
      </c>
      <c r="O30" s="3">
        <f>IF(DruidAbilities2Scenario1[[#This Row],[takes]]&gt;0,DruidAbilities2Scenario1[[#This Row],[wins]]/DruidAbilities2Scenario1[[#This Row],[takes]],0)</f>
        <v>0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31" s="2">
        <f>COUNTIF(Scenario1[winner1-ability2],DruidAbilities2Scenario1[[#This Row],[ability]])+COUNTIF(Scenario1[winner2-ability2],DruidAbilities2Scenario1[[#This Row],[ability]])</f>
        <v>0</v>
      </c>
      <c r="N31" s="13">
        <f>IF(SUM(DruidAbilities2Scenario1[[#This Row],[takes]]) &gt; 0,DruidAbilities2Scenario1[[#This Row],[takes]]/SUM(DruidAbilities2Scenario1[takes]),0)</f>
        <v>0</v>
      </c>
      <c r="O31" s="13">
        <f>IF(DruidAbilities2Scenario1[[#This Row],[takes]]&gt;0,DruidAbilities2Scenario1[[#This Row],[wins]]/DruidAbilities2Scenario1[[#This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4" s="1">
        <f>COUNTIF(Scenario1[winner1-ability3],DruidAbilities3Scenario1[[#This Row],[ability]])+COUNTIF(Scenario1[winner2-ability3],DruidAbilities3Scenario1[[#This Row],[ability]])</f>
        <v>0</v>
      </c>
      <c r="N34" s="14">
        <f>IF(SUM(DruidAbilities3Scenario1[[#This Row],[takes]]) &gt; 0,DruidAbilities3Scenario1[[#This Row],[takes]]/SUM(DruidAbilities3Scenario1[takes]),0)</f>
        <v>0</v>
      </c>
      <c r="O34" s="14">
        <f>IF(DruidAbilities3Scenario1[[#This Row],[takes]]&gt;0,DruidAbilities3Scenario1[[#This Row],[wins]]/DruidAbilities3Scenario1[[#This Row],[takes]],0)</f>
        <v>0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5" s="2">
        <f>COUNTIF(Scenario1[winner1-ability3],DruidAbilities3Scenario1[[#This Row],[ability]])+COUNTIF(Scenario1[winner2-ability3],DruidAbilities3Scenario1[[#This Row],[ability]])</f>
        <v>0</v>
      </c>
      <c r="N35" s="12">
        <f>IF(SUM(DruidAbilities3Scenario1[[#This Row],[takes]]) &gt; 0,DruidAbilities3Scenario1[[#This Row],[takes]]/SUM(DruidAbilities3Scenario1[takes]),0)</f>
        <v>0</v>
      </c>
      <c r="O35" s="12">
        <f>IF(DruidAbilities3Scenario1[[#This Row],[takes]]&gt;0,DruidAbilities3Scenario1[[#This Row],[wins]]/DruidAbilities3Scenario1[[#This Row],[takes]],0)</f>
        <v>0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6" s="1">
        <f>COUNTIF(Scenario1[winner1-ability3],DruidAbilities3Scenario1[[#This Row],[ability]])+COUNTIF(Scenario1[winner2-ability3],DruidAbilities3Scenario1[[#This Row],[ability]])</f>
        <v>0</v>
      </c>
      <c r="N36" s="15">
        <f>IF(SUM(DruidAbilities3Scenario1[[#This Row],[takes]]) &gt; 0,DruidAbilities3Scenario1[[#This Row],[takes]]/SUM(DruidAbilities3Scenario1[takes]),0)</f>
        <v>0</v>
      </c>
      <c r="O36" s="15">
        <f>IF(DruidAbilities3Scenario1[[#This Row],[takes]]&gt;0,DruidAbilities3Scenario1[[#This Row],[wins]]/DruidAbilities3Scenario1[[#This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39" s="2">
        <f>COUNTIF(Scenario1[winner1-ability4],DruidAbilities4Scenario1[[#This Row],[ability]])+COUNTIF(Scenario1[winner2-ability4],DruidAbilities4Scenario1[[#This Row],[ability]])</f>
        <v>0</v>
      </c>
      <c r="N39" s="12">
        <f>IF(SUM(DruidAbilities4Scenario1[[#This Row],[takes]]) &gt; 0,DruidAbilities4Scenario1[[#This Row],[takes]]/SUM(DruidAbilities4Scenario1[takes]),0)</f>
        <v>0</v>
      </c>
      <c r="O39" s="12">
        <f>IF(DruidAbilities4Scenario1[[#This Row],[takes]]&gt;0,DruidAbilities4Scenario1[[#This Row],[wins]]/DruidAbilities4Scenario1[[#This Row],[takes]],0)</f>
        <v>0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0" s="2">
        <f>COUNTIF(Scenario1[winner1-ability4],DruidAbilities4Scenario1[[#This Row],[ability]])+COUNTIF(Scenario1[winner2-ability4],DruidAbilities4Scenario1[[#This Row],[ability]])</f>
        <v>0</v>
      </c>
      <c r="N40" s="12">
        <f>IF(SUM(DruidAbilities4Scenario1[[#This Row],[takes]]) &gt; 0,DruidAbilities4Scenario1[[#This Row],[takes]]/SUM(DruidAbilities4Scenario1[takes]),0)</f>
        <v>0</v>
      </c>
      <c r="O40" s="12">
        <f>IF(DruidAbilities4Scenario1[[#This Row],[takes]]&gt;0,DruidAbilities4Scenario1[[#This Row],[wins]]/DruidAbilities4Scenario1[[#This Row],[takes]],0)</f>
        <v>0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5">
        <f>COUNTIF(Scenario1[winner1-ability4],DruidAbilities4Scenario1[[#This Row],[ability]])+COUNTIF(Scenario1[winner2-ability4],DruidAbilities4Scenario1[[#This Row],[ability]])</f>
        <v>0</v>
      </c>
      <c r="N41" s="26">
        <f>IF(SUM(DruidAbilities4Scenario1[[#This Row],[takes]]) &gt; 0,DruidAbilities4Scenario1[[#This Row],[takes]]/SUM(DruidAbilities4Scenario1[takes]),0)</f>
        <v>0</v>
      </c>
      <c r="O41" s="26">
        <f>IF(DruidAbilities4Scenario1[[#This Row],[takes]]&gt;0,DruidAbilities4Scenario1[[#This Row],[wins]]/DruidAbilities4Scenario1[[#This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4</v>
      </c>
      <c r="M45">
        <f>COUNTIF(Scenario2[winner1-ability1],DruidAbilities1Scenario2[[#This Row],[ability]])</f>
        <v>0</v>
      </c>
      <c r="N45" s="3">
        <f>IF(SUM(DruidAbilities1Scenario2[[#This Row],[takes]]) &gt; 0,DruidAbilities1Scenario2[[#This Row],[takes]]/SUM(DruidAbilities1Scenario2[takes]),0)</f>
        <v>0.25</v>
      </c>
      <c r="O45" s="3">
        <f>IF(DruidAbilities1Scenario2[[#This Row],[takes]]&gt;0,DruidAbilities1Scenario2[[#This Row],[wins]]/DruidAbilities1Scenario2[[#This Row],[takes]],0)</f>
        <v>0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4</v>
      </c>
      <c r="S45" s="18">
        <f>COUNTIFS(Scenario2[winner1],"druid",Scenario2[winner1-cp],DruidEquipScenario2[[#This Row],[level]])+COUNTIFS(Scenario2[loser1],"druid",Scenario2[loser1-cp],DruidEquipScenario2[[#This Row],[level]])</f>
        <v>12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8</v>
      </c>
      <c r="M46">
        <f>COUNTIF(Scenario2[winner1-ability1],DruidAbilities1Scenario2[[#This Row],[ability]])</f>
        <v>1</v>
      </c>
      <c r="N46" s="3">
        <f>IF(SUM(DruidAbilities1Scenario2[[#This Row],[takes]]) &gt; 0,DruidAbilities1Scenario2[[#This Row],[takes]]/SUM(DruidAbilities1Scenario2[takes]),0)</f>
        <v>0.5</v>
      </c>
      <c r="O46" s="3">
        <f>IF(DruidAbilities1Scenario2[[#This Row],[takes]]&gt;0,DruidAbilities1Scenario2[[#This Row],[wins]]/DruidAbilities1Scenario2[[#This Row],[takes]],0)</f>
        <v>0.125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7</v>
      </c>
      <c r="S46" s="18">
        <f>COUNTIFS(Scenario2[winner1],"druid",Scenario2[winner1-cp],DruidEquipScenario2[[#This Row],[level]])+COUNTIFS(Scenario2[loser1],"druid",Scenario2[loser1-cp],DruidEquipScenario2[[#This Row],[level]])</f>
        <v>0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4</v>
      </c>
      <c r="M47">
        <f>COUNTIF(Scenario2[winner1-ability1],DruidAbilities1Scenario2[[#This Row],[ability]])</f>
        <v>2</v>
      </c>
      <c r="N47" s="3">
        <f>IF(SUM(DruidAbilities1Scenario2[[#This Row],[takes]]) &gt; 0,DruidAbilities1Scenario2[[#This Row],[takes]]/SUM(DruidAbilities1Scenario2[takes]),0)</f>
        <v>0.25</v>
      </c>
      <c r="O47" s="3">
        <f>IF(DruidAbilities1Scenario2[[#This Row],[takes]]&gt;0,DruidAbilities1Scenario2[[#This Row],[wins]]/DruidAbilities1Scenario2[[#This Row],[takes]],0)</f>
        <v>0.5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5</v>
      </c>
      <c r="S47" s="18">
        <f>COUNTIFS(Scenario2[winner1],"druid",Scenario2[winner1-cp],DruidEquipScenario2[[#This Row],[level]])+COUNTIFS(Scenario2[loser1],"druid",Scenario2[loser1-cp],DruidEquipScenario2[[#This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7</v>
      </c>
      <c r="M50" s="2">
        <f>COUNTIF(Scenario2[winner1-ability2],DruidAbilities2Scenario2[[#This Row],[ability]])</f>
        <v>3</v>
      </c>
      <c r="N50" s="12">
        <f>IF(SUM(DruidAbilities2Scenario2[[#This Row],[takes]]) &gt; 0,DruidAbilities2Scenario2[[#This Row],[takes]]/SUM(DruidAbilities2Scenario2[takes]),0)</f>
        <v>0.4375</v>
      </c>
      <c r="O50" s="12">
        <f>IF(DruidAbilities2Scenario2[[#This Row],[takes]]&gt;0,DruidAbilities2Scenario2[[#This Row],[wins]]/DruidAbilities2Scenario2[[#This Row],[takes]],0)</f>
        <v>0.42857142857142855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8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0.5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1</v>
      </c>
      <c r="M52" s="2">
        <f>COUNTIF(Scenario2[winner1-ability2],DruidAbilities2Scenario2[[#This Row],[ability]])</f>
        <v>0</v>
      </c>
      <c r="N52" s="13">
        <f>IF(SUM(DruidAbilities2Scenario2[[#This Row],[takes]]) &gt; 0,DruidAbilities2Scenario2[[#This Row],[takes]]/SUM(DruidAbilities2Scenario2[takes]),0)</f>
        <v>6.25E-2</v>
      </c>
      <c r="O52" s="13">
        <f>IF(DruidAbilities2Scenario2[[#This Row],[takes]]&gt;0,DruidAbilities2Scenario2[[#This Row],[wins]]/DruidAbilities2Scenario2[[#This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5</v>
      </c>
      <c r="M55" s="1">
        <f>COUNTIF(Scenario2[winner1-ability3],DruidAbilities3Scenario2[[#This Row],[ability]])</f>
        <v>0</v>
      </c>
      <c r="N55" s="14">
        <f>IF(SUM(DruidAbilities3Scenario2[[#This Row],[takes]]) &gt; 0,DruidAbilities3Scenario2[[#This Row],[takes]]/SUM(DruidAbilities3Scenario2[takes]),0)</f>
        <v>0.38461538461538464</v>
      </c>
      <c r="O55" s="14">
        <f>IF(DruidAbilities3Scenario2[[#This Row],[takes]]&gt;0,DruidAbilities3Scenario2[[#This Row],[wins]]/DruidAbilities3Scenario2[[#This Row],[takes]],0)</f>
        <v>0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3</v>
      </c>
      <c r="M56" s="2">
        <f>COUNTIF(Scenario2[winner1-ability3],DruidAbilities3Scenario2[[#This Row],[ability]])</f>
        <v>1</v>
      </c>
      <c r="N56" s="12">
        <f>IF(SUM(DruidAbilities3Scenario2[[#This Row],[takes]]) &gt; 0,DruidAbilities3Scenario2[[#This Row],[takes]]/SUM(DruidAbilities3Scenario2[takes]),0)</f>
        <v>0.23076923076923078</v>
      </c>
      <c r="O56" s="12">
        <f>IF(DruidAbilities3Scenario2[[#This Row],[takes]]&gt;0,DruidAbilities3Scenario2[[#This Row],[wins]]/DruidAbilities3Scenario2[[#This Row],[takes]],0)</f>
        <v>0.33333333333333331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5</v>
      </c>
      <c r="M57" s="1">
        <f>COUNTIF(Scenario2[winner1-ability3],DruidAbilities3Scenario2[[#This Row],[ability]])</f>
        <v>2</v>
      </c>
      <c r="N57" s="15">
        <f>IF(SUM(DruidAbilities3Scenario2[[#This Row],[takes]]) &gt; 0,DruidAbilities3Scenario2[[#This Row],[takes]]/SUM(DruidAbilities3Scenario2[takes]),0)</f>
        <v>0.38461538461538464</v>
      </c>
      <c r="O57" s="15">
        <f>IF(DruidAbilities3Scenario2[[#This Row],[takes]]&gt;0,DruidAbilities3Scenario2[[#This Row],[wins]]/DruidAbilities3Scenario2[[#This Row],[takes]],0)</f>
        <v>0.4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6</v>
      </c>
      <c r="M60" s="2">
        <f>COUNTIF(Scenario2[winner1-ability4],DruidAbilities4Scenario2[[#This Row],[ability]])</f>
        <v>2</v>
      </c>
      <c r="N60" s="12">
        <f>IF(SUM(DruidAbilities4Scenario2[[#This Row],[takes]]) &gt; 0,DruidAbilities4Scenario2[[#This Row],[takes]]/SUM(DruidAbilities4Scenario2[takes]),0)</f>
        <v>0.54545454545454541</v>
      </c>
      <c r="O60" s="12">
        <f>IF(DruidAbilities4Scenario2[[#This Row],[takes]]&gt;0,DruidAbilities4Scenario2[[#This Row],[wins]]/DruidAbilities4Scenario2[[#This Row],[takes]],0)</f>
        <v>0.33333333333333331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3</v>
      </c>
      <c r="M61" s="2">
        <f>COUNTIF(Scenario2[winner1-ability4],DruidAbilities4Scenario2[[#This Row],[ability]])</f>
        <v>0</v>
      </c>
      <c r="N61" s="12">
        <f>IF(SUM(DruidAbilities4Scenario2[[#This Row],[takes]]) &gt; 0,DruidAbilities4Scenario2[[#This Row],[takes]]/SUM(DruidAbilities4Scenario2[takes]),0)</f>
        <v>0.27272727272727271</v>
      </c>
      <c r="O61" s="12">
        <f>IF(DruidAbilities4Scenario2[[#This Row],[takes]]&gt;0,DruidAbilities4Scenario2[[#This Row],[wins]]/DruidAbilities4Scenario2[[#This Row],[takes]],0)</f>
        <v>0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2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0.18181818181818182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4</v>
      </c>
      <c r="M66">
        <f>COUNTIF(Scenario3[winner1-ability1],DruidAbilities1Scenario3[[#This Row],[ability]])</f>
        <v>1</v>
      </c>
      <c r="N66" s="3">
        <f>IF(SUM(DruidAbilities1Scenario3[[#This Row],[takes]]) &gt; 0,DruidAbilities1Scenario3[[#This Row],[takes]]/SUM(DruidAbilities1Scenario3[takes]),0)</f>
        <v>0.19047619047619047</v>
      </c>
      <c r="O66" s="3">
        <f>IF(DruidAbilities1Scenario3[[#This Row],[takes]]&gt;0,DruidAbilities1Scenario3[[#This Row],[wins]]/DruidAbilities1Scenario3[[#This Row],[takes]],0)</f>
        <v>0.25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3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5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3</v>
      </c>
      <c r="M67">
        <f>COUNTIF(Scenario3[winner1-ability1],DruidAbilities1Scenario3[[#This Row],[ability]])</f>
        <v>1</v>
      </c>
      <c r="N67" s="3">
        <f>IF(SUM(DruidAbilities1Scenario3[[#This Row],[takes]]) &gt; 0,DruidAbilities1Scenario3[[#This Row],[takes]]/SUM(DruidAbilities1Scenario3[takes]),0)</f>
        <v>0.14285714285714285</v>
      </c>
      <c r="O67" s="3">
        <f>IF(DruidAbilities1Scenario3[[#This Row],[takes]]&gt;0,DruidAbilities1Scenario3[[#This Row],[wins]]/DruidAbilities1Scenario3[[#This Row],[takes]],0)</f>
        <v>0.33333333333333331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4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4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14</v>
      </c>
      <c r="M68">
        <f>COUNTIF(Scenario3[winner1-ability1],DruidAbilities1Scenario3[[#This Row],[ability]])</f>
        <v>2</v>
      </c>
      <c r="N68" s="3">
        <f>IF(SUM(DruidAbilities1Scenario3[[#This Row],[takes]]) &gt; 0,DruidAbilities1Scenario3[[#This Row],[takes]]/SUM(DruidAbilities1Scenario3[takes]),0)</f>
        <v>0.66666666666666663</v>
      </c>
      <c r="O68" s="3">
        <f>IF(DruidAbilities1Scenario3[[#This Row],[takes]]&gt;0,DruidAbilities1Scenario3[[#This Row],[wins]]/DruidAbilities1Scenario3[[#This Row],[takes]],0)</f>
        <v>0.14285714285714285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14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12</v>
      </c>
      <c r="M71" s="2">
        <f>COUNTIF(Scenario3[winner1-ability2],DruidAbilities2Scenario3[[#This Row],[ability]])</f>
        <v>3</v>
      </c>
      <c r="N71" s="12">
        <f>IF(SUM(DruidAbilities2Scenario3[[#This Row],[takes]]) &gt; 0,DruidAbilities2Scenario3[[#This Row],[takes]]/SUM(DruidAbilities2Scenario3[takes]),0)</f>
        <v>0.5714285714285714</v>
      </c>
      <c r="O71" s="12">
        <f>IF(DruidAbilities2Scenario3[[#This Row],[takes]]&gt;0,DruidAbilities2Scenario3[[#This Row],[wins]]/DruidAbilities2Scenario3[[#This Row],[takes]],0)</f>
        <v>0.25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4.7619047619047616E-2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8</v>
      </c>
      <c r="M73" s="2">
        <f>COUNTIF(Scenario3[winner1-ability2],DruidAbilities2Scenario3[[#This Row],[ability]])</f>
        <v>1</v>
      </c>
      <c r="N73" s="13">
        <f>IF(SUM(DruidAbilities2Scenario3[[#This Row],[takes]]) &gt; 0,DruidAbilities2Scenario3[[#This Row],[takes]]/SUM(DruidAbilities2Scenario3[takes]),0)</f>
        <v>0.38095238095238093</v>
      </c>
      <c r="O73" s="13">
        <f>IF(DruidAbilities2Scenario3[[#This Row],[takes]]&gt;0,DruidAbilities2Scenario3[[#This Row],[wins]]/DruidAbilities2Scenario3[[#This Row],[takes]],0)</f>
        <v>0.125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5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0.25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7</v>
      </c>
      <c r="M77" s="2">
        <f>COUNTIF(Scenario3[winner1-ability3],DruidAbilities3Scenario3[[#This Row],[ability]])</f>
        <v>2</v>
      </c>
      <c r="N77" s="12">
        <f>IF(SUM(DruidAbilities3Scenario3[[#This Row],[takes]]) &gt; 0,DruidAbilities3Scenario3[[#This Row],[takes]]/SUM(DruidAbilities3Scenario3[takes]),0)</f>
        <v>0.35</v>
      </c>
      <c r="O77" s="12">
        <f>IF(DruidAbilities3Scenario3[[#This Row],[takes]]&gt;0,DruidAbilities3Scenario3[[#This Row],[wins]]/DruidAbilities3Scenario3[[#This Row],[takes]],0)</f>
        <v>0.2857142857142857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8</v>
      </c>
      <c r="M78" s="1">
        <f>COUNTIF(Scenario3[winner1-ability3],DruidAbilities3Scenario3[[#This Row],[ability]])</f>
        <v>2</v>
      </c>
      <c r="N78" s="15">
        <f>IF(SUM(DruidAbilities3Scenario3[[#This Row],[takes]]) &gt; 0,DruidAbilities3Scenario3[[#This Row],[takes]]/SUM(DruidAbilities3Scenario3[takes]),0)</f>
        <v>0.4</v>
      </c>
      <c r="O78" s="15">
        <f>IF(DruidAbilities3Scenario3[[#This Row],[takes]]&gt;0,DruidAbilities3Scenario3[[#This Row],[wins]]/DruidAbilities3Scenario3[[#This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9</v>
      </c>
      <c r="M81" s="2">
        <f>COUNTIF(Scenario3[winner1-ability4],DruidAbilities4Scenario3[[#This Row],[ability]])</f>
        <v>3</v>
      </c>
      <c r="N81" s="12">
        <f>IF(SUM(DruidAbilities4Scenario3[[#This Row],[takes]]) &gt; 0,DruidAbilities4Scenario3[[#This Row],[takes]]/SUM(DruidAbilities4Scenario3[takes]),0)</f>
        <v>0.47368421052631576</v>
      </c>
      <c r="O81" s="12">
        <f>IF(DruidAbilities4Scenario3[[#This Row],[takes]]&gt;0,DruidAbilities4Scenario3[[#This Row],[wins]]/DruidAbilities4Scenario3[[#This Row],[takes]],0)</f>
        <v>0.33333333333333331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10</v>
      </c>
      <c r="M82" s="2">
        <f>COUNTIF(Scenario3[winner1-ability4],DruidAbilities4Scenario3[[#This Row],[ability]])</f>
        <v>1</v>
      </c>
      <c r="N82" s="12">
        <f>IF(SUM(DruidAbilities4Scenario3[[#This Row],[takes]]) &gt; 0,DruidAbilities4Scenario3[[#This Row],[takes]]/SUM(DruidAbilities4Scenario3[takes]),0)</f>
        <v>0.52631578947368418</v>
      </c>
      <c r="O82" s="12">
        <f>IF(DruidAbilities4Scenario3[[#This Row],[takes]]&gt;0,DruidAbilities4Scenario3[[#This Row],[wins]]/DruidAbilities4Scenario3[[#This Row],[takes]],0)</f>
        <v>0.1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1</v>
      </c>
      <c r="M89">
        <f>COUNTIF(Scenario4[winner1-ability1],DruidAbilities1Scenario4[[#This Row],[ability]])</f>
        <v>0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0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1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7" s="1">
        <f>COUNTIF(Scenario4[winner1-ability3],DruidAbilities3Scenario4[[#This Row],[ability]])</f>
        <v>0</v>
      </c>
      <c r="N97" s="14">
        <f>IF(SUM(DruidAbilities3Scenario4[[#This Row],[takes]]) &gt; 0,DruidAbilities3Scenario4[[#This Row],[takes]]/SUM(DruidAbilities3Scenario4[takes]),0)</f>
        <v>0</v>
      </c>
      <c r="O97" s="14">
        <f>IF(DruidAbilities3Scenario4[[#This Row],[takes]]&gt;0,DruidAbilities3Scenario4[[#This Row],[wins]]/DruidAbilities3Scenario4[[#This Row],[takes]],0)</f>
        <v>0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1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9" s="1">
        <f>COUNTIF(Scenario4[winner1-ability3],DruidAbilities3Scenario4[[#This Row],[ability]])</f>
        <v>0</v>
      </c>
      <c r="N99" s="15">
        <f>IF(SUM(DruidAbilities3Scenario4[[#This Row],[takes]]) &gt; 0,DruidAbilities3Scenario4[[#This Row],[takes]]/SUM(DruidAbilities3Scenario4[takes]),0)</f>
        <v>0</v>
      </c>
      <c r="O99" s="15">
        <f>IF(DruidAbilities3Scenario4[[#This Row],[takes]]&gt;0,DruidAbilities3Scenario4[[#This Row],[wins]]/DruidAbilities3Scenario4[[#This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2" s="2">
        <f>COUNTIF(Scenario4[winner1-ability4],DruidAbilities4Scenario4[[#This Row],[ability]])</f>
        <v>0</v>
      </c>
      <c r="N102" s="12">
        <f>IF(SUM(DruidAbilities4Scenario4[[#This Row],[takes]]) &gt; 0,DruidAbilities4Scenario4[[#This Row],[takes]]/SUM(DruidAbilities4Scenario4[takes]),0)</f>
        <v>0</v>
      </c>
      <c r="O102" s="12">
        <f>IF(DruidAbilities4Scenario4[[#This Row],[takes]]&gt;0,DruidAbilities4Scenario4[[#This Row],[wins]]/DruidAbilities4Scenario4[[#This Row],[takes]],0)</f>
        <v>0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</v>
      </c>
      <c r="M103" s="2">
        <f>COUNTIF(Scenario4[winner1-ability4],DruidAbilities4Scenario4[[#This Row],[ability]])</f>
        <v>0</v>
      </c>
      <c r="N103" s="12">
        <f>IF(SUM(DruidAbilities4Scenario4[[#This Row],[takes]]) &gt; 0,DruidAbilities4Scenario4[[#This Row],[takes]]/SUM(DruidAbilities4Scenario4[takes]),0)</f>
        <v>1</v>
      </c>
      <c r="O103" s="12">
        <f>IF(DruidAbilities4Scenario4[[#This Row],[takes]]&gt;0,DruidAbilities4Scenario4[[#This Row],[wins]]/DruidAbilities4Scenario4[[#This Row],[takes]],0)</f>
        <v>0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34</v>
      </c>
      <c r="M108">
        <f>COUNTIF(Scenario5[winner1-ability1],DruidAbilities1Scenario5[[#This Row],[ability]])+COUNTIF(Scenario5[winner2-ability1],DruidAbilities1Scenario5[[#This Row],[ability]])</f>
        <v>13</v>
      </c>
      <c r="N108" s="3">
        <f>IF(SUM(DruidAbilities1Scenario5[[#This Row],[takes]]) &gt; 0,DruidAbilities1Scenario5[[#This Row],[takes]]/SUM(DruidAbilities1Scenario5[takes]),0)</f>
        <v>0.32380952380952382</v>
      </c>
      <c r="O108" s="3">
        <f>IF(DruidAbilities1Scenario5[[#This Row],[takes]]&gt;0,DruidAbilities1Scenario5[[#This Row],[wins]]/DruidAbilities1Scenario5[[#This Row],[takes]],0)</f>
        <v>0.38235294117647056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63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83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26</v>
      </c>
      <c r="M109">
        <f>COUNTIF(Scenario5[winner1-ability1],DruidAbilities1Scenario5[[#This Row],[ability]])+COUNTIF(Scenario5[winner2-ability1],DruidAbilities1Scenario5[[#This Row],[ability]])</f>
        <v>11</v>
      </c>
      <c r="N109" s="3">
        <f>IF(SUM(DruidAbilities1Scenario5[[#This Row],[takes]]) &gt; 0,DruidAbilities1Scenario5[[#This Row],[takes]]/SUM(DruidAbilities1Scenario5[takes]),0)</f>
        <v>0.24761904761904763</v>
      </c>
      <c r="O109" s="3">
        <f>IF(DruidAbilities1Scenario5[[#This Row],[takes]]&gt;0,DruidAbilities1Scenario5[[#This Row],[wins]]/DruidAbilities1Scenario5[[#This Row],[takes]],0)</f>
        <v>0.42307692307692307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29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16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45</v>
      </c>
      <c r="M110">
        <f>COUNTIF(Scenario5[winner1-ability1],DruidAbilities1Scenario5[[#This Row],[ability]])+COUNTIF(Scenario5[winner2-ability1],DruidAbilities1Scenario5[[#This Row],[ability]])</f>
        <v>13</v>
      </c>
      <c r="N110" s="3">
        <f>IF(SUM(DruidAbilities1Scenario5[[#This Row],[takes]]) &gt; 0,DruidAbilities1Scenario5[[#This Row],[takes]]/SUM(DruidAbilities1Scenario5[takes]),0)</f>
        <v>0.42857142857142855</v>
      </c>
      <c r="O110" s="3">
        <f>IF(DruidAbilities1Scenario5[[#This Row],[takes]]&gt;0,DruidAbilities1Scenario5[[#This Row],[wins]]/DruidAbilities1Scenario5[[#This Row],[takes]],0)</f>
        <v>0.28888888888888886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13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22</v>
      </c>
      <c r="M113" s="2">
        <f>COUNTIF(Scenario5[winner1-ability2],DruidAbilities2Scenario5[[#This Row],[ability]])+COUNTIF(Scenario5[winner2-ability2],DruidAbilities2Scenario5[[#This Row],[ability]])</f>
        <v>12</v>
      </c>
      <c r="N113" s="12">
        <f>IF(SUM(DruidAbilities2Scenario5[[#This Row],[takes]]) &gt; 0,DruidAbilities2Scenario5[[#This Row],[takes]]/SUM(DruidAbilities2Scenario5[takes]),0)</f>
        <v>0.22916666666666666</v>
      </c>
      <c r="O113" s="12">
        <f>IF(DruidAbilities2Scenario5[[#This Row],[takes]]&gt;0,DruidAbilities2Scenario5[[#This Row],[wins]]/DruidAbilities2Scenario5[[#This Row],[takes]],0)</f>
        <v>0.54545454545454541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21</v>
      </c>
      <c r="M114" s="2">
        <f>COUNTIF(Scenario5[winner1-ability2],DruidAbilities2Scenario5[[#This Row],[ability]])+COUNTIF(Scenario5[winner2-ability2],DruidAbilities2Scenario5[[#This Row],[ability]])</f>
        <v>7</v>
      </c>
      <c r="N114" s="3">
        <f>IF(SUM(DruidAbilities2Scenario5[[#This Row],[takes]]) &gt; 0,DruidAbilities2Scenario5[[#This Row],[takes]]/SUM(DruidAbilities2Scenario5[takes]),0)</f>
        <v>0.21875</v>
      </c>
      <c r="O114" s="3">
        <f>IF(DruidAbilities2Scenario5[[#This Row],[takes]]&gt;0,DruidAbilities2Scenario5[[#This Row],[wins]]/DruidAbilities2Scenario5[[#This Row],[takes]],0)</f>
        <v>0.33333333333333331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53</v>
      </c>
      <c r="M115" s="2">
        <f>COUNTIF(Scenario5[winner1-ability2],DruidAbilities2Scenario5[[#This Row],[ability]])+COUNTIF(Scenario5[winner2-ability2],DruidAbilities2Scenario5[[#This Row],[ability]])</f>
        <v>17</v>
      </c>
      <c r="N115" s="13">
        <f>IF(SUM(DruidAbilities2Scenario5[[#This Row],[takes]]) &gt; 0,DruidAbilities2Scenario5[[#This Row],[takes]]/SUM(DruidAbilities2Scenario5[takes]),0)</f>
        <v>0.55208333333333337</v>
      </c>
      <c r="O115" s="13">
        <f>IF(DruidAbilities2Scenario5[[#This Row],[takes]]&gt;0,DruidAbilities2Scenario5[[#This Row],[wins]]/DruidAbilities2Scenario5[[#This Row],[takes]],0)</f>
        <v>0.32075471698113206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12</v>
      </c>
      <c r="M118" s="1">
        <f>COUNTIF(Scenario5[winner1-ability3],DruidAbilities3Scenario5[[#This Row],[ability]])+COUNTIF(Scenario5[winner2-ability3],DruidAbilities3Scenario5[[#This Row],[ability]])</f>
        <v>7</v>
      </c>
      <c r="N118" s="14">
        <f>IF(SUM(DruidAbilities3Scenario5[[#This Row],[takes]]) &gt; 0,DruidAbilities3Scenario5[[#This Row],[takes]]/SUM(DruidAbilities3Scenario5[takes]),0)</f>
        <v>0.17391304347826086</v>
      </c>
      <c r="O118" s="14">
        <f>IF(DruidAbilities3Scenario5[[#This Row],[takes]]&gt;0,DruidAbilities3Scenario5[[#This Row],[wins]]/DruidAbilities3Scenario5[[#This Row],[takes]],0)</f>
        <v>0.58333333333333337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40</v>
      </c>
      <c r="M119" s="2">
        <f>COUNTIF(Scenario5[winner1-ability3],DruidAbilities3Scenario5[[#This Row],[ability]])+COUNTIF(Scenario5[winner2-ability3],DruidAbilities3Scenario5[[#This Row],[ability]])</f>
        <v>17</v>
      </c>
      <c r="N119" s="12">
        <f>IF(SUM(DruidAbilities3Scenario5[[#This Row],[takes]]) &gt; 0,DruidAbilities3Scenario5[[#This Row],[takes]]/SUM(DruidAbilities3Scenario5[takes]),0)</f>
        <v>0.57971014492753625</v>
      </c>
      <c r="O119" s="12">
        <f>IF(DruidAbilities3Scenario5[[#This Row],[takes]]&gt;0,DruidAbilities3Scenario5[[#This Row],[wins]]/DruidAbilities3Scenario5[[#This Row],[takes]],0)</f>
        <v>0.42499999999999999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17</v>
      </c>
      <c r="M120" s="1">
        <f>COUNTIF(Scenario5[winner1-ability3],DruidAbilities3Scenario5[[#This Row],[ability]])+COUNTIF(Scenario5[winner2-ability3],DruidAbilities3Scenario5[[#This Row],[ability]])</f>
        <v>9</v>
      </c>
      <c r="N120" s="15">
        <f>IF(SUM(DruidAbilities3Scenario5[[#This Row],[takes]]) &gt; 0,DruidAbilities3Scenario5[[#This Row],[takes]]/SUM(DruidAbilities3Scenario5[takes]),0)</f>
        <v>0.24637681159420291</v>
      </c>
      <c r="O120" s="15">
        <f>IF(DruidAbilities3Scenario5[[#This Row],[takes]]&gt;0,DruidAbilities3Scenario5[[#This Row],[wins]]/DruidAbilities3Scenario5[[#This Row],[takes]],0)</f>
        <v>0.52941176470588236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3" s="2">
        <f>COUNTIF(Scenario5[winner1-ability4],DruidAbilities4Scenario5[[#This Row],[ability]])+COUNTIF(Scenario5[winner2-ability4],DruidAbilities4Scenario5[[#This Row],[ability]])</f>
        <v>10</v>
      </c>
      <c r="N123" s="12">
        <f>IF(SUM(DruidAbilities4Scenario5[[#This Row],[takes]]) &gt; 0,DruidAbilities4Scenario5[[#This Row],[takes]]/SUM(DruidAbilities4Scenario5[takes]),0)</f>
        <v>0.34210526315789475</v>
      </c>
      <c r="O123" s="12">
        <f>IF(DruidAbilities4Scenario5[[#This Row],[takes]]&gt;0,DruidAbilities4Scenario5[[#This Row],[wins]]/DruidAbilities4Scenario5[[#This Row],[takes]],0)</f>
        <v>0.76923076923076927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12</v>
      </c>
      <c r="M124" s="2">
        <f>COUNTIF(Scenario5[winner1-ability4],DruidAbilities4Scenario5[[#This Row],[ability]])+COUNTIF(Scenario5[winner2-ability4],DruidAbilities4Scenario5[[#This Row],[ability]])</f>
        <v>5</v>
      </c>
      <c r="N124" s="12">
        <f>IF(SUM(DruidAbilities4Scenario5[[#This Row],[takes]]) &gt; 0,DruidAbilities4Scenario5[[#This Row],[takes]]/SUM(DruidAbilities4Scenario5[takes]),0)</f>
        <v>0.31578947368421051</v>
      </c>
      <c r="O124" s="12">
        <f>IF(DruidAbilities4Scenario5[[#This Row],[takes]]&gt;0,DruidAbilities4Scenario5[[#This Row],[wins]]/DruidAbilities4Scenario5[[#This Row],[takes]],0)</f>
        <v>0.41666666666666669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5" s="2">
        <f>COUNTIF(Scenario5[winner1-ability4],DruidAbilities4Scenario5[[#This Row],[ability]])+COUNTIF(Scenario5[winner2-ability4],DruidAbilities4Scenario5[[#This Row],[ability]])</f>
        <v>10</v>
      </c>
      <c r="N125" s="26">
        <f>IF(SUM(DruidAbilities4Scenario5[[#This Row],[takes]]) &gt; 0,DruidAbilities4Scenario5[[#This Row],[takes]]/SUM(DruidAbilities4Scenario5[takes]),0)</f>
        <v>0.34210526315789475</v>
      </c>
      <c r="O125" s="26">
        <f>IF(DruidAbilities4Scenario5[[#This Row],[takes]]&gt;0,DruidAbilities4Scenario5[[#This Row],[wins]]/DruidAbilities4Scenario5[[#This Row],[takes]],0)</f>
        <v>0.76923076923076927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I24" sqref="I2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0.34265734265734266</v>
      </c>
    </row>
    <row r="3" spans="1:22" x14ac:dyDescent="0.25">
      <c r="A3" t="s">
        <v>46</v>
      </c>
      <c r="B3">
        <f>L3+L24+L45+L66+L87+L108</f>
        <v>1</v>
      </c>
      <c r="C3">
        <f>M3+M24+M45+M66+M87+M108</f>
        <v>0</v>
      </c>
      <c r="D3" s="3">
        <f>IF(SUM(OracleAbilities1[[#This Row],[takes]]) &gt; 0,OracleAbilities1[[#This Row],[takes]]/SUM(OracleAbilities1[takes]),0)</f>
        <v>6.993006993006993E-3</v>
      </c>
      <c r="E3" s="3">
        <f>IF(OracleAbilities1[[#This Row],[takes]]&gt;0,OracleAbilities1[[#This Row],[wins]]/OracleAbilities1[[#This Row],[takes]],0)</f>
        <v>0</v>
      </c>
      <c r="G3">
        <v>1</v>
      </c>
      <c r="H3">
        <f>R3+R24+R45+R66+R87+R108</f>
        <v>56</v>
      </c>
      <c r="I3" s="18">
        <f>S3+S24+S45+S66+S87+S108</f>
        <v>29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3">
        <f>COUNTIF(Scenario0[winner1-ability1],OracleAbilities1Scenario0[[#This Row],[ability]])+COUNTIF(Scenario0[winner2-ability1],OracleAbilities1Scenario0[[#This Row],[ability]])</f>
        <v>0</v>
      </c>
      <c r="N3" s="3">
        <f>IF(SUM(OracleAbilities1Scenario0[[#This Row],[takes]]) &gt; 0,OracleAbilities1Scenario0[[#This Row],[takes]]/SUM(OracleAbilities1Scenario0[takes]),0)</f>
        <v>0</v>
      </c>
      <c r="O3" s="3">
        <f>IF(OracleAbilities1Scenario0[[#This Row],[takes]]&gt;0,OracleAbilities1Scenario0[[#This Row],[wins]]/OracleAbilities1Scenario0[[#This Row],[takes]],0)</f>
        <v>0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3" t="s">
        <v>198</v>
      </c>
      <c r="V3" s="16">
        <f>H5/SUM(OracleEquip[book])</f>
        <v>0.26573426573426573</v>
      </c>
    </row>
    <row r="4" spans="1:22" x14ac:dyDescent="0.25">
      <c r="A4" t="s">
        <v>65</v>
      </c>
      <c r="B4">
        <f t="shared" ref="B4:B5" si="0">L4+L25+L46+L67+L88+L109</f>
        <v>119</v>
      </c>
      <c r="C4">
        <f t="shared" ref="C4:C5" si="1">M4+M25+M46+M67+M88+M109</f>
        <v>79</v>
      </c>
      <c r="D4" s="3">
        <f>IF(SUM(OracleAbilities1[[#This Row],[takes]]) &gt; 0,OracleAbilities1[[#This Row],[takes]]/SUM(OracleAbilities1[takes]),0)</f>
        <v>0.83216783216783219</v>
      </c>
      <c r="E4" s="3">
        <f>IF(OracleAbilities1[[#This Row],[takes]]&gt;0,OracleAbilities1[[#This Row],[wins]]/OracleAbilities1[[#This Row],[takes]],0)</f>
        <v>0.66386554621848737</v>
      </c>
      <c r="G4">
        <v>2</v>
      </c>
      <c r="H4">
        <f t="shared" ref="H4:H5" si="2">R4+R25+R46+R67+R88+R109</f>
        <v>49</v>
      </c>
      <c r="I4" s="18">
        <f t="shared" ref="I4:I5" si="3">S4+S25+S46+S67+S88+S109</f>
        <v>53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4" t="s">
        <v>179</v>
      </c>
      <c r="V4" s="3">
        <f>OracleEquip[[#This Row],[chestpiece]]/SUM(OracleEquip[chestpiece])</f>
        <v>0.37062937062937062</v>
      </c>
    </row>
    <row r="5" spans="1:22" x14ac:dyDescent="0.25">
      <c r="A5" t="s">
        <v>34</v>
      </c>
      <c r="B5">
        <f t="shared" si="0"/>
        <v>23</v>
      </c>
      <c r="C5">
        <f t="shared" si="1"/>
        <v>10</v>
      </c>
      <c r="D5" s="3">
        <f>IF(SUM(OracleAbilities1[[#This Row],[takes]]) &gt; 0,OracleAbilities1[[#This Row],[takes]]/SUM(OracleAbilities1[takes]),0)</f>
        <v>0.16083916083916083</v>
      </c>
      <c r="E5" s="3">
        <f>IF(OracleAbilities1[[#This Row],[takes]]&gt;0,OracleAbilities1[[#This Row],[wins]]/OracleAbilities1[[#This Row],[takes]],0)</f>
        <v>0.43478260869565216</v>
      </c>
      <c r="G5">
        <v>3</v>
      </c>
      <c r="H5">
        <f t="shared" si="2"/>
        <v>38</v>
      </c>
      <c r="I5" s="18">
        <f t="shared" si="3"/>
        <v>61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5" t="s">
        <v>180</v>
      </c>
      <c r="V5" s="16">
        <f>OracleEquip[[#This Row],[chestpiece]]/SUM(OracleEquip[chestpiece])</f>
        <v>0.42657342657342656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0.81118881118881114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0.55244755244755239</v>
      </c>
    </row>
    <row r="8" spans="1:22" x14ac:dyDescent="0.25">
      <c r="A8" s="2" t="s">
        <v>66</v>
      </c>
      <c r="B8" s="2">
        <f>L8+L29+L50+L71+L92+L113</f>
        <v>35</v>
      </c>
      <c r="C8" s="2">
        <f>M8+M29+M50+M71+M92+M113</f>
        <v>21</v>
      </c>
      <c r="D8" s="12">
        <f>IF(SUM(OracleAbilities2[[#This Row],[takes]]) &gt; 0,OracleAbilities2[[#This Row],[takes]]/SUM(OracleAbilities2[takes]),0)</f>
        <v>0.30172413793103448</v>
      </c>
      <c r="E8" s="12">
        <f>IF(OracleAbilities2[[#This Row],[takes]]&gt;0,OracleAbilities2[[#This Row],[wins]]/OracleAbilities2[[#This Row],[takes]],0)</f>
        <v>0.6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8" s="2">
        <f>COUNTIF(Scenario0[winner1-ability2],OracleAbilities2Scenario0[[#This Row],[ability]])+COUNTIF(Scenario0[winner2-ability2],OracleAbilities2Scenario0[[#This Row],[ability]])</f>
        <v>0</v>
      </c>
      <c r="N8" s="12">
        <f>IF(SUM(OracleAbilities2Scenario0[[#This Row],[takes]]) &gt; 0,OracleAbilities2Scenario0[[#This Row],[takes]]/SUM(OracleAbilities2Scenario0[takes]),0)</f>
        <v>0</v>
      </c>
      <c r="O8" s="12">
        <f>IF(OracleAbilities2Scenario0[[#This Row],[takes]]&gt;0,OracleAbilities2Scenario0[[#This Row],[wins]]/OracleAbilities2Scenario0[[#This Row],[takes]],0)</f>
        <v>0</v>
      </c>
      <c r="S8" s="18"/>
      <c r="U8" t="s">
        <v>178</v>
      </c>
      <c r="V8" s="16">
        <f>SUM(OracleAbilities4[takes])/SUM(OracleAbilities1[takes])</f>
        <v>0.31468531468531469</v>
      </c>
    </row>
    <row r="9" spans="1:22" x14ac:dyDescent="0.25">
      <c r="A9" t="s">
        <v>130</v>
      </c>
      <c r="B9" s="2">
        <f t="shared" ref="B9:B10" si="4">L9+L30+L51+L72+L93+L114</f>
        <v>65</v>
      </c>
      <c r="C9" s="2">
        <f t="shared" ref="C9:C10" si="5">M9+M30+M51+M72+M93+M114</f>
        <v>47</v>
      </c>
      <c r="D9" s="3">
        <f>IF(SUM(OracleAbilities2[[#This Row],[takes]]) &gt; 0,OracleAbilities2[[#This Row],[takes]]/SUM(OracleAbilities2[takes]),0)</f>
        <v>0.56034482758620685</v>
      </c>
      <c r="E9" s="3">
        <f>IF(OracleAbilities2[[#This Row],[takes]]&gt;0,OracleAbilities2[[#This Row],[wins]]/OracleAbilities2[[#This Row],[takes]],0)</f>
        <v>0.72307692307692306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9" s="2">
        <f>COUNTIF(Scenario0[winner1-ability2],OracleAbilities2Scenario0[[#This Row],[ability]])+COUNTIF(Scenario0[winner2-ability2],OracleAbilities2Scenario0[[#This Row],[ability]])</f>
        <v>0</v>
      </c>
      <c r="N9" s="3">
        <f>IF(SUM(OracleAbilities2Scenario0[[#This Row],[takes]]) &gt; 0,OracleAbilities2Scenario0[[#This Row],[takes]]/SUM(OracleAbilities2Scenario0[takes]),0)</f>
        <v>0</v>
      </c>
      <c r="O9" s="3">
        <f>IF(OracleAbilities2Scenario0[[#This Row],[takes]]&gt;0,OracleAbilities2Scenario0[[#This Row],[wins]]/OracleAbilities2Scenario0[[#This Row],[takes]],0)</f>
        <v>0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3.0839160839160837</v>
      </c>
    </row>
    <row r="10" spans="1:22" x14ac:dyDescent="0.25">
      <c r="A10" s="10" t="s">
        <v>35</v>
      </c>
      <c r="B10" s="2">
        <f t="shared" si="4"/>
        <v>16</v>
      </c>
      <c r="C10" s="2">
        <f t="shared" si="5"/>
        <v>9</v>
      </c>
      <c r="D10" s="13">
        <f>IF(SUM(OracleAbilities2[[#This Row],[takes]]) &gt; 0,OracleAbilities2[[#This Row],[takes]]/SUM(OracleAbilities2[takes]),0)</f>
        <v>0.13793103448275862</v>
      </c>
      <c r="E10" s="13">
        <f>IF(OracleAbilities2[[#This Row],[takes]]&gt;0,OracleAbilities2[[#This Row],[wins]]/OracleAbilities2[[#This Row],[takes]],0)</f>
        <v>0.5625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10" s="2">
        <f>COUNTIF(Scenario0[winner1-ability2],OracleAbilities2Scenario0[[#This Row],[ability]])+COUNTIF(Scenario0[winner2-ability2],OracleAbilities2Scenario0[[#This Row],[ability]])</f>
        <v>0</v>
      </c>
      <c r="N10" s="13">
        <f>IF(SUM(OracleAbilities2Scenario0[[#This Row],[takes]]) &gt; 0,OracleAbilities2Scenario0[[#This Row],[takes]]/SUM(OracleAbilities2Scenario0[takes]),0)</f>
        <v>0</v>
      </c>
      <c r="O10" s="13">
        <f>IF(OracleAbilities2Scenario0[[#This Row],[takes]]&gt;0,OracleAbilities2Scenario0[[#This Row],[wins]]/OracleAbilities2Scenario0[[#This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60</v>
      </c>
      <c r="C13" s="1">
        <f>M13+M34+M55+M76+M97+M118</f>
        <v>51</v>
      </c>
      <c r="D13" s="14">
        <f>IF(SUM(OracleAbilities3[[#This Row],[takes]]) &gt; 0,OracleAbilities3[[#This Row],[takes]]/SUM(OracleAbilities3[takes]),0)</f>
        <v>0.759493670886076</v>
      </c>
      <c r="E13" s="14">
        <f>IF(OracleAbilities3[[#This Row],[takes]]&gt;0,OracleAbilities3[[#This Row],[wins]]/OracleAbilities3[[#This Row],[takes]],0)</f>
        <v>0.85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3" s="1">
        <f>COUNTIF(Scenario0[winner1-ability3],OracleAbilities3Scenario0[[#This Row],[ability]])+COUNTIF(Scenario0[winner2-ability3],OracleAbilities3Scenario0[[#This Row],[ability]])</f>
        <v>0</v>
      </c>
      <c r="N13" s="14">
        <f>IF(SUM(OracleAbilities3Scenario0[[#This Row],[takes]]) &gt; 0,OracleAbilities3Scenario0[[#This Row],[takes]]/SUM(OracleAbilities3Scenario0[takes]),0)</f>
        <v>0</v>
      </c>
      <c r="O13" s="14">
        <f>IF(OracleAbilities3Scenario0[[#This Row],[takes]]&gt;0,OracleAbilities3Scenario0[[#This Row],[wins]]/OracleAbilities3Scenario0[[#This Row],[takes]],0)</f>
        <v>0</v>
      </c>
      <c r="S13" s="18"/>
    </row>
    <row r="14" spans="1:22" x14ac:dyDescent="0.25">
      <c r="A14" s="2" t="s">
        <v>131</v>
      </c>
      <c r="B14" s="2">
        <f t="shared" ref="B14:B15" si="6">L14+L35+L56+L77+L98+L119</f>
        <v>19</v>
      </c>
      <c r="C14" s="2">
        <f t="shared" ref="C14:C15" si="7">M14+M35+M56+M77+M98+M119</f>
        <v>10</v>
      </c>
      <c r="D14" s="12">
        <f>IF(SUM(OracleAbilities3[[#This Row],[takes]]) &gt; 0,OracleAbilities3[[#This Row],[takes]]/SUM(OracleAbilities3[takes]),0)</f>
        <v>0.24050632911392406</v>
      </c>
      <c r="E14" s="12">
        <f>IF(OracleAbilities3[[#This Row],[takes]]&gt;0,OracleAbilities3[[#This Row],[wins]]/OracleAbilities3[[#This Row],[takes]],0)</f>
        <v>0.52631578947368418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4" s="2">
        <f>COUNTIF(Scenario0[winner1-ability3],OracleAbilities3Scenario0[[#This Row],[ability]])+COUNTIF(Scenario0[winner2-ability3],OracleAbilities3Scenario0[[#This Row],[ability]])</f>
        <v>0</v>
      </c>
      <c r="N14" s="12">
        <f>IF(SUM(OracleAbilities3Scenario0[[#This Row],[takes]]) &gt; 0,OracleAbilities3Scenario0[[#This Row],[takes]]/SUM(OracleAbilities3Scenario0[takes]),0)</f>
        <v>0</v>
      </c>
      <c r="O14" s="12">
        <f>IF(OracleAbilities3Scenario0[[#This Row],[takes]]&gt;0,OracleAbilities3Scenario0[[#This Row],[wins]]/OracleAbilities3Scenario0[[#This Row],[takes]],0)</f>
        <v>0</v>
      </c>
      <c r="S14" s="18"/>
    </row>
    <row r="15" spans="1:22" x14ac:dyDescent="0.25">
      <c r="A15" s="11" t="s">
        <v>132</v>
      </c>
      <c r="B15" s="1">
        <f t="shared" si="6"/>
        <v>0</v>
      </c>
      <c r="C15" s="1">
        <f t="shared" si="7"/>
        <v>0</v>
      </c>
      <c r="D15" s="15">
        <f>IF(SUM(OracleAbilities3[[#This Row],[takes]]) &gt; 0,OracleAbilities3[[#This Row],[takes]]/SUM(OracleAbilities3[takes]),0)</f>
        <v>0</v>
      </c>
      <c r="E15" s="15">
        <f>IF(OracleAbilities3[[#This Row],[takes]]&gt;0,OracleAbilities3[[#This Row],[wins]]/OracleAbilities3[[#This Row],[takes]],0)</f>
        <v>0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5" s="1">
        <f>COUNTIF(Scenario0[winner1-ability3],OracleAbilities3Scenario0[[#This Row],[ability]])+COUNTIF(Scenario0[winner2-ability3],OracleAbilities3Scenario0[[#This Row],[ability]])</f>
        <v>0</v>
      </c>
      <c r="N15" s="15">
        <f>IF(SUM(OracleAbilities3Scenario0[[#This Row],[takes]]) &gt; 0,OracleAbilities3Scenario0[[#This Row],[takes]]/SUM(OracleAbilities3Scenario0[takes]),0)</f>
        <v>0</v>
      </c>
      <c r="O15" s="15">
        <f>IF(OracleAbilities3Scenario0[[#This Row],[takes]]&gt;0,OracleAbilities3Scenario0[[#This Row],[wins]]/OracleAbilities3Scenario0[[#This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9</v>
      </c>
      <c r="C18" s="2">
        <f>M18+M39+M60+M81+M102+M123</f>
        <v>3</v>
      </c>
      <c r="D18" s="12">
        <f>IF(SUM(OracleAbilities4[[#This Row],[takes]]) &gt; 0,OracleAbilities4[[#This Row],[takes]]/SUM(OracleAbilities4[takes]),0)</f>
        <v>0.2</v>
      </c>
      <c r="E18" s="12">
        <f>IF(OracleAbilities4[[#This Row],[takes]]&gt;0,OracleAbilities4[[#This Row],[wins]]/OracleAbilities4[[#This Row],[takes]],0)</f>
        <v>0.33333333333333331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0</v>
      </c>
      <c r="C19" s="2">
        <f t="shared" ref="C19:C20" si="9">M19+M40+M61+M82+M103+M124</f>
        <v>0</v>
      </c>
      <c r="D19" s="12">
        <f>IF(SUM(OracleAbilities4[[#This Row],[takes]]) &gt; 0,OracleAbilities4[[#This Row],[takes]]/SUM(OracleAbilities4[takes]),0)</f>
        <v>0</v>
      </c>
      <c r="E19" s="12">
        <f>IF(OracleAbilities4[[#This Row],[takes]]&gt;0,OracleAbilities4[[#This Row],[wins]]/OracleAbilities4[[#This Row],[takes]],0)</f>
        <v>0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36</v>
      </c>
      <c r="C20" s="2">
        <f t="shared" si="9"/>
        <v>32</v>
      </c>
      <c r="D20" s="26">
        <f>IF(SUM(OracleAbilities4[[#This Row],[takes]]) &gt; 0,OracleAbilities4[[#This Row],[takes]]/SUM(OracleAbilities4[takes]),0)</f>
        <v>0.8</v>
      </c>
      <c r="E20" s="26">
        <f>IF(OracleAbilities4[[#This Row],[takes]]&gt;0,OracleAbilities4[[#This Row],[wins]]/OracleAbilities4[[#This Row],[takes]],0)</f>
        <v>0.88888888888888884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</v>
      </c>
      <c r="M24">
        <f>COUNTIF(Scenario1[winner1-ability1],OracleAbilities1Scenario1[[#This Row],[ability]])+COUNTIF(Scenario1[winner2-ability1],OracleAbilities1Scenario1[[#This Row],[ability]])</f>
        <v>0</v>
      </c>
      <c r="N24" s="3">
        <f>IF(SUM(OracleAbilities1Scenario1[[#This Row],[takes]]) &gt; 0,OracleAbilities1Scenario1[[#This Row],[takes]]/SUM(OracleAbilities1Scenario1[takes]),0)</f>
        <v>1</v>
      </c>
      <c r="O24" s="3">
        <f>IF(OracleAbilities1Scenario1[[#This Row],[takes]]&gt;0,OracleAbilities1Scenario1[[#This Row],[wins]]/OracleAbilities1Scenario1[[#This Row],[takes]],0)</f>
        <v>0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5">
        <f>COUNTIF(Scenario1[winner1-ability1],OracleAbilities1Scenario1[[#This Row],[ability]])+COUNTIF(Scenario1[winner2-ability1],OracleAbilities1Scenario1[[#This Row],[ability]])</f>
        <v>0</v>
      </c>
      <c r="N25" s="3">
        <f>IF(SUM(OracleAbilities1Scenario1[[#This Row],[takes]]) &gt; 0,OracleAbilities1Scenario1[[#This Row],[takes]]/SUM(OracleAbilities1Scenario1[takes]),0)</f>
        <v>0</v>
      </c>
      <c r="O25" s="3">
        <f>IF(OracleAbilities1Scenario1[[#This Row],[takes]]&gt;0,OracleAbilities1Scenario1[[#This Row],[wins]]/OracleAbilities1Scenario1[[#This Row],[takes]],0)</f>
        <v>0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6">
        <f>COUNTIF(Scenario1[winner1-ability1],OracleAbilities1Scenario1[[#This Row],[ability]])+COUNTIF(Scenario1[winner2-ability1],OracleAbilities1Scenario1[[#This Row],[ability]])</f>
        <v>0</v>
      </c>
      <c r="N26" s="3">
        <f>IF(SUM(OracleAbilities1Scenario1[[#This Row],[takes]]) &gt; 0,OracleAbilities1Scenario1[[#This Row],[takes]]/SUM(OracleAbilities1Scenario1[takes]),0)</f>
        <v>0</v>
      </c>
      <c r="O26" s="3">
        <f>IF(OracleAbilities1Scenario1[[#This Row],[takes]]&gt;0,OracleAbilities1Scenario1[[#This Row],[wins]]/OracleAbilities1Scenario1[[#This Row],[takes]],0)</f>
        <v>0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</v>
      </c>
      <c r="M29" s="2">
        <f>COUNTIF(Scenario1[winner1-ability2],OracleAbilities2Scenario1[[#This Row],[ability]])+COUNTIF(Scenario1[winner2-ability2],OracleAbilities2Scenario1[[#This Row],[ability]])</f>
        <v>0</v>
      </c>
      <c r="N29" s="12">
        <f>IF(SUM(OracleAbilities2Scenario1[[#This Row],[takes]]) &gt; 0,OracleAbilities2Scenario1[[#This Row],[takes]]/SUM(OracleAbilities2Scenario1[takes]),0)</f>
        <v>1</v>
      </c>
      <c r="O29" s="12">
        <f>IF(OracleAbilities2Scenario1[[#This Row],[takes]]&gt;0,OracleAbilities2Scenario1[[#This Row],[wins]]/OracleAbilities2Scenario1[[#This Row],[takes]],0)</f>
        <v>0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0" s="2">
        <f>COUNTIF(Scenario1[winner1-ability2],OracleAbilities2Scenario1[[#This Row],[ability]])+COUNTIF(Scenario1[winner2-ability2],OracleAbilities2Scenario1[[#This Row],[ability]])</f>
        <v>0</v>
      </c>
      <c r="N30" s="3">
        <f>IF(SUM(OracleAbilities2Scenario1[[#This Row],[takes]]) &gt; 0,OracleAbilities2Scenario1[[#This Row],[takes]]/SUM(OracleAbilities2Scenario1[takes]),0)</f>
        <v>0</v>
      </c>
      <c r="O30" s="3">
        <f>IF(OracleAbilities2Scenario1[[#This Row],[takes]]&gt;0,OracleAbilities2Scenario1[[#This Row],[wins]]/OracleAbilities2Scenario1[[#This Row],[takes]],0)</f>
        <v>0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1" s="2">
        <f>COUNTIF(Scenario1[winner1-ability2],OracleAbilities2Scenario1[[#This Row],[ability]])+COUNTIF(Scenario1[winner2-ability2],OracleAbilities2Scenario1[[#This Row],[ability]])</f>
        <v>0</v>
      </c>
      <c r="N31" s="13">
        <f>IF(SUM(OracleAbilities2Scenario1[[#This Row],[takes]]) &gt; 0,OracleAbilities2Scenario1[[#This Row],[takes]]/SUM(OracleAbilities2Scenario1[takes]),0)</f>
        <v>0</v>
      </c>
      <c r="O31" s="13">
        <f>IF(OracleAbilities2Scenario1[[#This Row],[takes]]&gt;0,OracleAbilities2Scenario1[[#This Row],[wins]]/OracleAbilities2Scenario1[[#This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4" s="1">
        <f>COUNTIF(Scenario1[winner1-ability3],OracleAbilities3Scenario1[[#This Row],[ability]])+COUNTIF(Scenario1[winner2-ability3],OracleAbilities3Scenario1[[#This Row],[ability]])</f>
        <v>0</v>
      </c>
      <c r="N34" s="14">
        <f>IF(SUM(OracleAbilities3Scenario1[[#This Row],[takes]]) &gt; 0,OracleAbilities3Scenario1[[#This Row],[takes]]/SUM(OracleAbilities3Scenario1[takes]),0)</f>
        <v>0</v>
      </c>
      <c r="O34" s="14">
        <f>IF(OracleAbilities3Scenario1[[#This Row],[takes]]&gt;0,OracleAbilities3Scenario1[[#This Row],[wins]]/OracleAbilities3Scenario1[[#This Row],[takes]],0)</f>
        <v>0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5" s="2">
        <f>COUNTIF(Scenario1[winner1-ability3],OracleAbilities3Scenario1[[#This Row],[ability]])+COUNTIF(Scenario1[winner2-ability3],OracleAbilities3Scenario1[[#This Row],[ability]])</f>
        <v>0</v>
      </c>
      <c r="N35" s="12">
        <f>IF(SUM(OracleAbilities3Scenario1[[#This Row],[takes]]) &gt; 0,OracleAbilities3Scenario1[[#This Row],[takes]]/SUM(OracleAbilities3Scenario1[takes]),0)</f>
        <v>0</v>
      </c>
      <c r="O35" s="12">
        <f>IF(OracleAbilities3Scenario1[[#This Row],[takes]]&gt;0,OracleAbilities3Scenario1[[#This Row],[wins]]/OracleAbilities3Scenario1[[#This Row],[takes]],0)</f>
        <v>0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6" s="1">
        <f>COUNTIF(Scenario1[winner1-ability3],OracleAbilities3Scenario1[[#This Row],[ability]])+COUNTIF(Scenario1[winner2-ability3],OracleAbilities3Scenario1[[#This Row],[ability]])</f>
        <v>0</v>
      </c>
      <c r="N36" s="15">
        <f>IF(SUM(OracleAbilities3Scenario1[[#This Row],[takes]]) &gt; 0,OracleAbilities3Scenario1[[#This Row],[takes]]/SUM(OracleAbilities3Scenario1[takes]),0)</f>
        <v>0</v>
      </c>
      <c r="O36" s="15">
        <f>IF(OracleAbilities3Scenario1[[#This Row],[takes]]&gt;0,OracleAbilities3Scenario1[[#This Row],[wins]]/OracleAbilities3Scenario1[[#This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39" s="2">
        <f>COUNTIF(Scenario1[winner1-ability4],OracleAbilities4Scenario1[[#This Row],[ability]])+COUNTIF(Scenario1[winner2-ability4],OracleAbilities4Scenario1[[#This Row],[ability]])</f>
        <v>0</v>
      </c>
      <c r="N39" s="12">
        <f>IF(SUM(OracleAbilities4Scenario1[[#This Row],[takes]]) &gt; 0,OracleAbilities4Scenario1[[#This Row],[takes]]/SUM(OracleAbilities4Scenario1[takes]),0)</f>
        <v>0</v>
      </c>
      <c r="O39" s="12">
        <f>IF(OracleAbilities4Scenario1[[#This Row],[takes]]&gt;0,OracleAbilities4Scenario1[[#This Row],[wins]]/OracleAbilities4Scenario1[[#This Row],[takes]],0)</f>
        <v>0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8</v>
      </c>
      <c r="S45" s="18">
        <f>COUNTIFS(Scenario2[winner1],"oracle",Scenario2[winner1-cp],OracleEquipScenario2[[#This Row],[level]])+COUNTIFS(Scenario2[loser1],"oracle",Scenario2[loser1-cp],OracleEquipScenario2[[#This Row],[level]])</f>
        <v>4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14</v>
      </c>
      <c r="M46">
        <f>COUNTIF(Scenario2[winner1-ability1],OracleAbilities1Scenario2[[#This Row],[ability]])</f>
        <v>11</v>
      </c>
      <c r="N46" s="3">
        <f>IF(SUM(OracleAbilities1Scenario2[[#This Row],[takes]]) &gt; 0,OracleAbilities1Scenario2[[#This Row],[takes]]/SUM(OracleAbilities1Scenario2[takes]),0)</f>
        <v>0.875</v>
      </c>
      <c r="O46" s="3">
        <f>IF(OracleAbilities1Scenario2[[#This Row],[takes]]&gt;0,OracleAbilities1Scenario2[[#This Row],[wins]]/OracleAbilities1Scenario2[[#This Row],[takes]],0)</f>
        <v>0.7857142857142857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5</v>
      </c>
      <c r="S46" s="18">
        <f>COUNTIFS(Scenario2[winner1],"oracle",Scenario2[winner1-cp],OracleEquipScenario2[[#This Row],[level]])+COUNTIFS(Scenario2[loser1],"oracle",Scenario2[loser1-cp],OracleEquipScenario2[[#This Row],[level]])</f>
        <v>6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2</v>
      </c>
      <c r="M47">
        <f>COUNTIF(Scenario2[winner1-ability1],OracleAbilities1Scenario2[[#This Row],[ability]])</f>
        <v>1</v>
      </c>
      <c r="N47" s="3">
        <f>IF(SUM(OracleAbilities1Scenario2[[#This Row],[takes]]) &gt; 0,OracleAbilities1Scenario2[[#This Row],[takes]]/SUM(OracleAbilities1Scenario2[takes]),0)</f>
        <v>0.125</v>
      </c>
      <c r="O47" s="3">
        <f>IF(OracleAbilities1Scenario2[[#This Row],[takes]]&gt;0,OracleAbilities1Scenario2[[#This Row],[wins]]/OracleAbilities1Scenario2[[#This Row],[takes]],0)</f>
        <v>0.5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3</v>
      </c>
      <c r="S47" s="18">
        <f>COUNTIFS(Scenario2[winner1],"oracle",Scenario2[winner1-cp],OracleEquipScenario2[[#This Row],[level]])+COUNTIFS(Scenario2[loser1],"oracle",Scenario2[loser1-cp],OracleEquipScenario2[[#This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5</v>
      </c>
      <c r="M50" s="2">
        <f>COUNTIF(Scenario2[winner1-ability2],OracleAbilities2Scenario2[[#This Row],[ability]])</f>
        <v>4</v>
      </c>
      <c r="N50" s="12">
        <f>IF(SUM(OracleAbilities2Scenario2[[#This Row],[takes]]) &gt; 0,OracleAbilities2Scenario2[[#This Row],[takes]]/SUM(OracleAbilities2Scenario2[takes]),0)</f>
        <v>0.35714285714285715</v>
      </c>
      <c r="O50" s="12">
        <f>IF(OracleAbilities2Scenario2[[#This Row],[takes]]&gt;0,OracleAbilities2Scenario2[[#This Row],[wins]]/OracleAbilities2Scenario2[[#This Row],[takes]],0)</f>
        <v>0.8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5</v>
      </c>
      <c r="M51" s="2">
        <f>COUNTIF(Scenario2[winner1-ability2],OracleAbilities2Scenario2[[#This Row],[ability]])</f>
        <v>5</v>
      </c>
      <c r="N51" s="3">
        <f>IF(SUM(OracleAbilities2Scenario2[[#This Row],[takes]]) &gt; 0,OracleAbilities2Scenario2[[#This Row],[takes]]/SUM(OracleAbilities2Scenario2[takes]),0)</f>
        <v>0.35714285714285715</v>
      </c>
      <c r="O51" s="3">
        <f>IF(OracleAbilities2Scenario2[[#This Row],[takes]]&gt;0,OracleAbilities2Scenario2[[#This Row],[wins]]/OracleAbilities2Scenario2[[#This Row],[takes]],0)</f>
        <v>1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4</v>
      </c>
      <c r="M52" s="2">
        <f>COUNTIF(Scenario2[winner1-ability2],OracleAbilities2Scenario2[[#This Row],[ability]])</f>
        <v>2</v>
      </c>
      <c r="N52" s="13">
        <f>IF(SUM(OracleAbilities2Scenario2[[#This Row],[takes]]) &gt; 0,OracleAbilities2Scenario2[[#This Row],[takes]]/SUM(OracleAbilities2Scenario2[takes]),0)</f>
        <v>0.2857142857142857</v>
      </c>
      <c r="O52" s="13">
        <f>IF(OracleAbilities2Scenario2[[#This Row],[takes]]&gt;0,OracleAbilities2Scenario2[[#This Row],[wins]]/OracleAbilities2Scenario2[[#This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6</v>
      </c>
      <c r="M55" s="1">
        <f>COUNTIF(Scenario2[winner1-ability3],OracleAbilities3Scenario2[[#This Row],[ability]])</f>
        <v>6</v>
      </c>
      <c r="N55" s="14">
        <f>IF(SUM(OracleAbilities3Scenario2[[#This Row],[takes]]) &gt; 0,OracleAbilities3Scenario2[[#This Row],[takes]]/SUM(OracleAbilities3Scenario2[takes]),0)</f>
        <v>0.8571428571428571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1</v>
      </c>
      <c r="N56" s="12">
        <f>IF(SUM(OracleAbilities3Scenario2[[#This Row],[takes]]) &gt; 0,OracleAbilities3Scenario2[[#This Row],[takes]]/SUM(OracleAbilities3Scenario2[takes]),0)</f>
        <v>0.14285714285714285</v>
      </c>
      <c r="O56" s="12">
        <f>IF(OracleAbilities3Scenario2[[#This Row],[takes]]&gt;0,OracleAbilities3Scenario2[[#This Row],[wins]]/OracleAbilities3Scenario2[[#This Row],[takes]],0)</f>
        <v>1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0</v>
      </c>
      <c r="M57" s="1">
        <f>COUNTIF(Scenario2[winner1-ability3],OracleAbilities3Scenario2[[#This Row],[ability]])</f>
        <v>0</v>
      </c>
      <c r="N57" s="15">
        <f>IF(SUM(OracleAbilities3Scenario2[[#This Row],[takes]]) &gt; 0,OracleAbilities3Scenario2[[#This Row],[takes]]/SUM(OracleAbilities3Scenario2[takes]),0)</f>
        <v>0</v>
      </c>
      <c r="O57" s="15">
        <f>IF(OracleAbilities3Scenario2[[#This Row],[takes]]&gt;0,OracleAbilities3Scenario2[[#This Row],[wins]]/OracleAbilities3Scenario2[[#This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2</v>
      </c>
      <c r="M62" s="25">
        <f>COUNTIF(Scenario2[winner1-ability4],OracleAbilities4Scenario2[[#This Row],[ability]])</f>
        <v>2</v>
      </c>
      <c r="N62" s="26">
        <f>IF(SUM(OracleAbilities4Scenario2[[#This Row],[takes]]) &gt; 0,OracleAbilities4Scenario2[[#This Row],[takes]]/SUM(OracleAbilities4Scenario2[takes]),0)</f>
        <v>1</v>
      </c>
      <c r="O62" s="26">
        <f>IF(OracleAbilities4Scenario2[[#This Row],[takes]]&gt;0,OracleAbilities4Scenario2[[#This Row],[wins]]/OracleAbilities4Scenario2[[#This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4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14</v>
      </c>
      <c r="M67">
        <f>COUNTIF(Scenario3[winner1-ability1],OracleAbilities1Scenario3[[#This Row],[ability]])</f>
        <v>5</v>
      </c>
      <c r="N67" s="3">
        <f>IF(SUM(OracleAbilities1Scenario3[[#This Row],[takes]]) &gt; 0,OracleAbilities1Scenario3[[#This Row],[takes]]/SUM(OracleAbilities1Scenario3[takes]),0)</f>
        <v>0.66666666666666663</v>
      </c>
      <c r="O67" s="3">
        <f>IF(OracleAbilities1Scenario3[[#This Row],[takes]]&gt;0,OracleAbilities1Scenario3[[#This Row],[wins]]/OracleAbilities1Scenario3[[#This Row],[takes]],0)</f>
        <v>0.35714285714285715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6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5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7</v>
      </c>
      <c r="M68">
        <f>COUNTIF(Scenario3[winner1-ability1],OracleAbilities1Scenario3[[#This Row],[ability]])</f>
        <v>2</v>
      </c>
      <c r="N68" s="3">
        <f>IF(SUM(OracleAbilities1Scenario3[[#This Row],[takes]]) &gt; 0,OracleAbilities1Scenario3[[#This Row],[takes]]/SUM(OracleAbilities1Scenario3[takes]),0)</f>
        <v>0.33333333333333331</v>
      </c>
      <c r="O68" s="3">
        <f>IF(OracleAbilities1Scenario3[[#This Row],[takes]]&gt;0,OracleAbilities1Scenario3[[#This Row],[wins]]/OracleAbilities1Scenario3[[#This Row],[takes]],0)</f>
        <v>0.2857142857142857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11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6</v>
      </c>
      <c r="M71" s="2">
        <f>COUNTIF(Scenario3[winner1-ability2],OracleAbilities2Scenario3[[#This Row],[ability]])</f>
        <v>2</v>
      </c>
      <c r="N71" s="12">
        <f>IF(SUM(OracleAbilities2Scenario3[[#This Row],[takes]]) &gt; 0,OracleAbilities2Scenario3[[#This Row],[takes]]/SUM(OracleAbilities2Scenario3[takes]),0)</f>
        <v>0.33333333333333331</v>
      </c>
      <c r="O71" s="12">
        <f>IF(OracleAbilities2Scenario3[[#This Row],[takes]]&gt;0,OracleAbilities2Scenario3[[#This Row],[wins]]/OracleAbilities2Scenario3[[#This Row],[takes]],0)</f>
        <v>0.33333333333333331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5</v>
      </c>
      <c r="N72" s="3">
        <f>IF(SUM(OracleAbilities2Scenario3[[#This Row],[takes]]) &gt; 0,OracleAbilities2Scenario3[[#This Row],[takes]]/SUM(OracleAbilities2Scenario3[takes]),0)</f>
        <v>0.61111111111111116</v>
      </c>
      <c r="O72" s="3">
        <f>IF(OracleAbilities2Scenario3[[#This Row],[takes]]&gt;0,OracleAbilities2Scenario3[[#This Row],[wins]]/OracleAbilities2Scenario3[[#This Row],[takes]],0)</f>
        <v>0.45454545454545453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5.5555555555555552E-2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6" s="1">
        <f>COUNTIF(Scenario3[winner1-ability3],OracleAbilities3Scenario3[[#This Row],[ability]])</f>
        <v>4</v>
      </c>
      <c r="N76" s="14">
        <f>IF(SUM(OracleAbilities3Scenario3[[#This Row],[takes]]) &gt; 0,OracleAbilities3Scenario3[[#This Row],[takes]]/SUM(OracleAbilities3Scenario3[takes]),0)</f>
        <v>0.5</v>
      </c>
      <c r="O76" s="14">
        <f>IF(OracleAbilities3Scenario3[[#This Row],[takes]]&gt;0,OracleAbilities3Scenario3[[#This Row],[wins]]/OracleAbilities3Scenario3[[#This Row],[takes]],0)</f>
        <v>0.5714285714285714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7" s="2">
        <f>COUNTIF(Scenario3[winner1-ability3],OracleAbilities3Scenario3[[#This Row],[ability]])</f>
        <v>2</v>
      </c>
      <c r="N77" s="12">
        <f>IF(SUM(OracleAbilities3Scenario3[[#This Row],[takes]]) &gt; 0,OracleAbilities3Scenario3[[#This Row],[takes]]/SUM(OracleAbilities3Scenario3[takes]),0)</f>
        <v>0.5</v>
      </c>
      <c r="O77" s="12">
        <f>IF(OracleAbilities3Scenario3[[#This Row],[takes]]&gt;0,OracleAbilities3Scenario3[[#This Row],[wins]]/OracleAbilities3Scenario3[[#This Row],[takes]],0)</f>
        <v>0.2857142857142857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8" s="1">
        <f>COUNTIF(Scenario3[winner1-ability3],OracleAbilities3Scenario3[[#This Row],[ability]])</f>
        <v>0</v>
      </c>
      <c r="N78" s="15">
        <f>IF(SUM(OracleAbilities3Scenario3[[#This Row],[takes]]) &gt; 0,OracleAbilities3Scenario3[[#This Row],[takes]]/SUM(OracleAbilities3Scenario3[takes]),0)</f>
        <v>0</v>
      </c>
      <c r="O78" s="15">
        <f>IF(OracleAbilities3Scenario3[[#This Row],[takes]]&gt;0,OracleAbilities3Scenario3[[#This Row],[wins]]/OracleAbilities3Scenario3[[#This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1" s="2">
        <f>COUNTIF(Scenario3[winner1-ability4],OracleAbilities4Scenario3[[#This Row],[ability]])</f>
        <v>1</v>
      </c>
      <c r="N81" s="12">
        <f>IF(SUM(OracleAbilities4Scenario3[[#This Row],[takes]]) &gt; 0,OracleAbilities4Scenario3[[#This Row],[takes]]/SUM(OracleAbilities4Scenario3[takes]),0)</f>
        <v>0.6</v>
      </c>
      <c r="O81" s="12">
        <f>IF(OracleAbilities4Scenario3[[#This Row],[takes]]&gt;0,OracleAbilities4Scenario3[[#This Row],[wins]]/OracleAbilities4Scenario3[[#This Row],[takes]],0)</f>
        <v>0.16666666666666666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4</v>
      </c>
      <c r="M83" s="2">
        <f>COUNTIF(Scenario3[winner1-ability4],OracleAbilities4Scenario3[[#This Row],[ability]])</f>
        <v>2</v>
      </c>
      <c r="N83" s="26">
        <f>IF(SUM(OracleAbilities4Scenario3[[#This Row],[takes]]) &gt; 0,OracleAbilities4Scenario3[[#This Row],[takes]]/SUM(OracleAbilities4Scenario3[takes]),0)</f>
        <v>0.4</v>
      </c>
      <c r="O83" s="26">
        <f>IF(OracleAbilities4Scenario3[[#This Row],[takes]]&gt;0,OracleAbilities4Scenario3[[#This Row],[wins]]/OracleAbilities4Scenario3[[#This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8">
        <f>COUNTIF(Scenario4[winner1-ability1],OracleAbilities1Scenario4[[#This Row],[ability]])</f>
        <v>0</v>
      </c>
      <c r="N88" s="3">
        <f>IF(SUM(OracleAbilities1Scenario4[[#This Row],[takes]]) &gt; 0,OracleAbilities1Scenario4[[#This Row],[takes]]/SUM(OracleAbilities1Scenario4[takes]),0)</f>
        <v>0</v>
      </c>
      <c r="O88" s="3">
        <f>IF(OracleAbilities1Scenario4[[#This Row],[takes]]&gt;0,OracleAbilities1Scenario4[[#This Row],[wins]]/OracleAbilities1Scenario4[[#This Row],[takes]],0)</f>
        <v>0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9">
        <f>COUNTIF(Scenario4[winner1-ability1],OracleAbilities1Scenario4[[#This Row],[ability]])</f>
        <v>0</v>
      </c>
      <c r="N89" s="3">
        <f>IF(SUM(OracleAbilities1Scenario4[[#This Row],[takes]]) &gt; 0,OracleAbilities1Scenario4[[#This Row],[takes]]/SUM(OracleAbilities1Scenario4[takes]),0)</f>
        <v>0</v>
      </c>
      <c r="O89" s="3">
        <f>IF(OracleAbilities1Scenario4[[#This Row],[takes]]&gt;0,OracleAbilities1Scenario4[[#This Row],[wins]]/OracleAbilities1Scenario4[[#This Row],[takes]],0)</f>
        <v>0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2" s="2">
        <f>COUNTIF(Scenario4[winner1-ability2],OracleAbilities2Scenario4[[#This Row],[ability]])</f>
        <v>0</v>
      </c>
      <c r="N92" s="12">
        <f>IF(SUM(OracleAbilities2Scenario4[[#This Row],[takes]]) &gt; 0,OracleAbilities2Scenario4[[#This Row],[takes]]/SUM(OracleAbilities2Scenario4[takes]),0)</f>
        <v>0</v>
      </c>
      <c r="O92" s="12">
        <f>IF(OracleAbilities2Scenario4[[#This Row],[takes]]&gt;0,OracleAbilities2Scenario4[[#This Row],[wins]]/OracleAbilities2Scenario4[[#This Row],[takes]],0)</f>
        <v>0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3" s="2">
        <f>COUNTIF(Scenario4[winner1-ability2],OracleAbilities2Scenario4[[#This Row],[ability]])</f>
        <v>0</v>
      </c>
      <c r="N93" s="3">
        <f>IF(SUM(OracleAbilities2Scenario4[[#This Row],[takes]]) &gt; 0,OracleAbilities2Scenario4[[#This Row],[takes]]/SUM(OracleAbilities2Scenario4[takes]),0)</f>
        <v>0</v>
      </c>
      <c r="O93" s="3">
        <f>IF(OracleAbilities2Scenario4[[#This Row],[takes]]&gt;0,OracleAbilities2Scenario4[[#This Row],[wins]]/OracleAbilities2Scenario4[[#This Row],[takes]],0)</f>
        <v>0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7" s="1">
        <f>COUNTIF(Scenario4[winner1-ability3],OracleAbilities3Scenario4[[#This Row],[ability]])</f>
        <v>0</v>
      </c>
      <c r="N97" s="14">
        <f>IF(SUM(OracleAbilities3Scenario4[[#This Row],[takes]]) &gt; 0,OracleAbilities3Scenario4[[#This Row],[takes]]/SUM(OracleAbilities3Scenario4[takes]),0)</f>
        <v>0</v>
      </c>
      <c r="O97" s="14">
        <f>IF(OracleAbilities3Scenario4[[#This Row],[takes]]&gt;0,OracleAbilities3Scenario4[[#This Row],[wins]]/OracleAbilities3Scenario4[[#This Row],[takes]],0)</f>
        <v>0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8" s="2">
        <f>COUNTIF(Scenario4[winner1-ability3],OracleAbilities3Scenario4[[#This Row],[ability]])</f>
        <v>0</v>
      </c>
      <c r="N98" s="12">
        <f>IF(SUM(OracleAbilities3Scenario4[[#This Row],[takes]]) &gt; 0,OracleAbilities3Scenario4[[#This Row],[takes]]/SUM(OracleAbilities3Scenario4[takes]),0)</f>
        <v>0</v>
      </c>
      <c r="O98" s="12">
        <f>IF(OracleAbilities3Scenario4[[#This Row],[takes]]&gt;0,OracleAbilities3Scenario4[[#This Row],[wins]]/OracleAbilities3Scenario4[[#This Row],[takes]],0)</f>
        <v>0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9" s="1">
        <f>COUNTIF(Scenario4[winner1-ability3],OracleAbilities3Scenario4[[#This Row],[ability]])</f>
        <v>0</v>
      </c>
      <c r="N99" s="15">
        <f>IF(SUM(OracleAbilities3Scenario4[[#This Row],[takes]]) &gt; 0,OracleAbilities3Scenario4[[#This Row],[takes]]/SUM(OracleAbilities3Scenario4[takes]),0)</f>
        <v>0</v>
      </c>
      <c r="O99" s="15">
        <f>IF(OracleAbilities3Scenario4[[#This Row],[takes]]&gt;0,OracleAbilities3Scenario4[[#This Row],[wins]]/OracleAbilities3Scenario4[[#This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2" s="2">
        <f>COUNTIF(Scenario4[winner1-ability4],OracleAbilities4Scenario4[[#This Row],[ability]])</f>
        <v>0</v>
      </c>
      <c r="N102" s="12">
        <f>IF(SUM(OracleAbilities4Scenario4[[#This Row],[takes]]) &gt; 0,OracleAbilities4Scenario4[[#This Row],[takes]]/SUM(OracleAbilities4Scenario4[takes]),0)</f>
        <v>0</v>
      </c>
      <c r="O102" s="12">
        <f>IF(OracleAbilities4Scenario4[[#This Row],[takes]]&gt;0,OracleAbilities4Scenario4[[#This Row],[wins]]/OracleAbilities4Scenario4[[#This Row],[takes]],0)</f>
        <v>0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3" s="2">
        <f>COUNTIF(Scenario4[winner1-ability4],OracleAbilities4Scenario4[[#This Row],[ability]])</f>
        <v>0</v>
      </c>
      <c r="N103" s="12">
        <f>IF(SUM(OracleAbilities4Scenario4[[#This Row],[takes]]) &gt; 0,OracleAbilities4Scenario4[[#This Row],[takes]]/SUM(OracleAbilities4Scenario4[takes]),0)</f>
        <v>0</v>
      </c>
      <c r="O103" s="12">
        <f>IF(OracleAbilities4Scenario4[[#This Row],[takes]]&gt;0,OracleAbilities4Scenario4[[#This Row],[wins]]/OracleAbilities4Scenario4[[#This Row],[takes]],0)</f>
        <v>0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4" s="2">
        <f>COUNTIF(Scenario4[winner1-ability4],OracleAbilities4Scenario4[[#This Row],[ability]])</f>
        <v>0</v>
      </c>
      <c r="N104" s="26">
        <f>IF(SUM(OracleAbilities4Scenario4[[#This Row],[takes]]) &gt; 0,OracleAbilities4Scenario4[[#This Row],[takes]]/SUM(OracleAbilities4Scenario4[takes]),0)</f>
        <v>0</v>
      </c>
      <c r="O104" s="26">
        <f>IF(OracleAbilities4Scenario4[[#This Row],[takes]]&gt;0,OracleAbilities4Scenario4[[#This Row],[wins]]/OracleAbilities4Scenario4[[#This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43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24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91</v>
      </c>
      <c r="M109">
        <f>COUNTIF(Scenario5[winner1-ability1],OracleAbilities1Scenario5[[#This Row],[ability]])+COUNTIF(Scenario5[winner2-ability1],OracleAbilities1Scenario5[[#This Row],[ability]])</f>
        <v>63</v>
      </c>
      <c r="N109" s="3">
        <f>IF(SUM(OracleAbilities1Scenario5[[#This Row],[takes]]) &gt; 0,OracleAbilities1Scenario5[[#This Row],[takes]]/SUM(OracleAbilities1Scenario5[takes]),0)</f>
        <v>0.8666666666666667</v>
      </c>
      <c r="O109" s="3">
        <f>IF(OracleAbilities1Scenario5[[#This Row],[takes]]&gt;0,OracleAbilities1Scenario5[[#This Row],[wins]]/OracleAbilities1Scenario5[[#This Row],[takes]],0)</f>
        <v>0.69230769230769229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38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42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14</v>
      </c>
      <c r="M110">
        <f>COUNTIF(Scenario5[winner1-ability1],OracleAbilities1Scenario5[[#This Row],[ability]])+COUNTIF(Scenario5[winner2-ability1],OracleAbilities1Scenario5[[#This Row],[ability]])</f>
        <v>7</v>
      </c>
      <c r="N110" s="3">
        <f>IF(SUM(OracleAbilities1Scenario5[[#This Row],[takes]]) &gt; 0,OracleAbilities1Scenario5[[#This Row],[takes]]/SUM(OracleAbilities1Scenario5[takes]),0)</f>
        <v>0.13333333333333333</v>
      </c>
      <c r="O110" s="3">
        <f>IF(OracleAbilities1Scenario5[[#This Row],[takes]]&gt;0,OracleAbilities1Scenario5[[#This Row],[wins]]/OracleAbilities1Scenario5[[#This Row],[takes]],0)</f>
        <v>0.5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24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39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23</v>
      </c>
      <c r="M113" s="2">
        <f>COUNTIF(Scenario5[winner1-ability2],OracleAbilities2Scenario5[[#This Row],[ability]])+COUNTIF(Scenario5[winner2-ability2],OracleAbilities2Scenario5[[#This Row],[ability]])</f>
        <v>15</v>
      </c>
      <c r="N113" s="12">
        <f>IF(SUM(OracleAbilities2Scenario5[[#This Row],[takes]]) &gt; 0,OracleAbilities2Scenario5[[#This Row],[takes]]/SUM(OracleAbilities2Scenario5[takes]),0)</f>
        <v>0.27710843373493976</v>
      </c>
      <c r="O113" s="12">
        <f>IF(OracleAbilities2Scenario5[[#This Row],[takes]]&gt;0,OracleAbilities2Scenario5[[#This Row],[wins]]/OracleAbilities2Scenario5[[#This Row],[takes]],0)</f>
        <v>0.65217391304347827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49</v>
      </c>
      <c r="M114" s="2">
        <f>COUNTIF(Scenario5[winner1-ability2],OracleAbilities2Scenario5[[#This Row],[ability]])+COUNTIF(Scenario5[winner2-ability2],OracleAbilities2Scenario5[[#This Row],[ability]])</f>
        <v>37</v>
      </c>
      <c r="N114" s="3">
        <f>IF(SUM(OracleAbilities2Scenario5[[#This Row],[takes]]) &gt; 0,OracleAbilities2Scenario5[[#This Row],[takes]]/SUM(OracleAbilities2Scenario5[takes]),0)</f>
        <v>0.59036144578313254</v>
      </c>
      <c r="O114" s="3">
        <f>IF(OracleAbilities2Scenario5[[#This Row],[takes]]&gt;0,OracleAbilities2Scenario5[[#This Row],[wins]]/OracleAbilities2Scenario5[[#This Row],[takes]],0)</f>
        <v>0.75510204081632648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11</v>
      </c>
      <c r="M115" s="2">
        <f>COUNTIF(Scenario5[winner1-ability2],OracleAbilities2Scenario5[[#This Row],[ability]])+COUNTIF(Scenario5[winner2-ability2],OracleAbilities2Scenario5[[#This Row],[ability]])</f>
        <v>7</v>
      </c>
      <c r="N115" s="13">
        <f>IF(SUM(OracleAbilities2Scenario5[[#This Row],[takes]]) &gt; 0,OracleAbilities2Scenario5[[#This Row],[takes]]/SUM(OracleAbilities2Scenario5[takes]),0)</f>
        <v>0.13253012048192772</v>
      </c>
      <c r="O115" s="13">
        <f>IF(OracleAbilities2Scenario5[[#This Row],[takes]]&gt;0,OracleAbilities2Scenario5[[#This Row],[wins]]/OracleAbilities2Scenario5[[#This Row],[takes]],0)</f>
        <v>0.63636363636363635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47</v>
      </c>
      <c r="M118" s="1">
        <f>COUNTIF(Scenario5[winner1-ability3],OracleAbilities3Scenario5[[#This Row],[ability]])+COUNTIF(Scenario5[winner2-ability3],OracleAbilities3Scenario5[[#This Row],[ability]])</f>
        <v>41</v>
      </c>
      <c r="N118" s="14">
        <f>IF(SUM(OracleAbilities3Scenario5[[#This Row],[takes]]) &gt; 0,OracleAbilities3Scenario5[[#This Row],[takes]]/SUM(OracleAbilities3Scenario5[takes]),0)</f>
        <v>0.81034482758620685</v>
      </c>
      <c r="O118" s="14">
        <f>IF(OracleAbilities3Scenario5[[#This Row],[takes]]&gt;0,OracleAbilities3Scenario5[[#This Row],[wins]]/OracleAbilities3Scenario5[[#This Row],[takes]],0)</f>
        <v>0.87234042553191493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11</v>
      </c>
      <c r="M119" s="2">
        <f>COUNTIF(Scenario5[winner1-ability3],OracleAbilities3Scenario5[[#This Row],[ability]])+COUNTIF(Scenario5[winner2-ability3],OracleAbilities3Scenario5[[#This Row],[ability]])</f>
        <v>7</v>
      </c>
      <c r="N119" s="12">
        <f>IF(SUM(OracleAbilities3Scenario5[[#This Row],[takes]]) &gt; 0,OracleAbilities3Scenario5[[#This Row],[takes]]/SUM(OracleAbilities3Scenario5[takes]),0)</f>
        <v>0.18965517241379309</v>
      </c>
      <c r="O119" s="12">
        <f>IF(OracleAbilities3Scenario5[[#This Row],[takes]]&gt;0,OracleAbilities3Scenario5[[#This Row],[wins]]/OracleAbilities3Scenario5[[#This Row],[takes]],0)</f>
        <v>0.63636363636363635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0</v>
      </c>
      <c r="M120" s="1">
        <f>COUNTIF(Scenario5[winner1-ability3],OracleAbilities3Scenario5[[#This Row],[ability]])+COUNTIF(Scenario5[winner2-ability3],OracleAbilities3Scenario5[[#This Row],[ability]])</f>
        <v>0</v>
      </c>
      <c r="N120" s="15">
        <f>IF(SUM(OracleAbilities3Scenario5[[#This Row],[takes]]) &gt; 0,OracleAbilities3Scenario5[[#This Row],[takes]]/SUM(OracleAbilities3Scenario5[takes]),0)</f>
        <v>0</v>
      </c>
      <c r="O120" s="15">
        <f>IF(OracleAbilities3Scenario5[[#This Row],[takes]]&gt;0,OracleAbilities3Scenario5[[#This Row],[wins]]/OracleAbilities3Scenario5[[#This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3</v>
      </c>
      <c r="M123" s="2">
        <f>COUNTIF(Scenario5[winner1-ability4],OracleAbilities4Scenario5[[#This Row],[ability]])+COUNTIF(Scenario5[winner2-ability4],OracleAbilities4Scenario5[[#This Row],[ability]])</f>
        <v>2</v>
      </c>
      <c r="N123" s="12">
        <f>IF(SUM(OracleAbilities4Scenario5[[#This Row],[takes]]) &gt; 0,OracleAbilities4Scenario5[[#This Row],[takes]]/SUM(OracleAbilities4Scenario5[takes]),0)</f>
        <v>9.0909090909090912E-2</v>
      </c>
      <c r="O123" s="12">
        <f>IF(OracleAbilities4Scenario5[[#This Row],[takes]]&gt;0,OracleAbilities4Scenario5[[#This Row],[wins]]/OracleAbilities4Scenario5[[#This Row],[takes]],0)</f>
        <v>0.66666666666666663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4" s="2">
        <f>COUNTIF(Scenario5[winner1-ability4],OracleAbilities4Scenario5[[#This Row],[ability]])+COUNTIF(Scenario5[winner2-ability4],OracleAbilities4Scenario5[[#This Row],[ability]])</f>
        <v>0</v>
      </c>
      <c r="N124" s="12">
        <f>IF(SUM(OracleAbilities4Scenario5[[#This Row],[takes]]) &gt; 0,OracleAbilities4Scenario5[[#This Row],[takes]]/SUM(OracleAbilities4Scenario5[takes]),0)</f>
        <v>0</v>
      </c>
      <c r="O124" s="12">
        <f>IF(OracleAbilities4Scenario5[[#This Row],[takes]]&gt;0,OracleAbilities4Scenario5[[#This Row],[wins]]/OracleAbilities4Scenario5[[#This Row],[takes]],0)</f>
        <v>0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30</v>
      </c>
      <c r="M125" s="2">
        <f>COUNTIF(Scenario5[winner1-ability4],OracleAbilities4Scenario5[[#This Row],[ability]])+COUNTIF(Scenario5[winner2-ability4],OracleAbilities4Scenario5[[#This Row],[ability]])</f>
        <v>28</v>
      </c>
      <c r="N125" s="26">
        <f>IF(SUM(OracleAbilities4Scenario5[[#This Row],[takes]]) &gt; 0,OracleAbilities4Scenario5[[#This Row],[takes]]/SUM(OracleAbilities4Scenario5[takes]),0)</f>
        <v>0.90909090909090906</v>
      </c>
      <c r="O125" s="26">
        <f>IF(OracleAbilities4Scenario5[[#This Row],[takes]]&gt;0,OracleAbilities4Scenario5[[#This Row],[wins]]/OracleAbilities4Scenario5[[#This Row],[takes]],0)</f>
        <v>0.93333333333333335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G26" sqref="G26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0.34507042253521125</v>
      </c>
    </row>
    <row r="3" spans="1:22" x14ac:dyDescent="0.25">
      <c r="A3" t="s">
        <v>44</v>
      </c>
      <c r="B3">
        <f>L3+L24+L45+L66+L87+L108</f>
        <v>109</v>
      </c>
      <c r="C3">
        <f>M3+M24+M45+M66+M87+M108</f>
        <v>49</v>
      </c>
      <c r="D3" s="3">
        <f>IF(SUM(AvatarAbilities1[[#This Row],[takes]]) &gt; 0,AvatarAbilities1[[#This Row],[takes]]/SUM(AvatarAbilities1[takes]),0)</f>
        <v>0.76760563380281688</v>
      </c>
      <c r="E3" s="3">
        <f>IF(AvatarAbilities1[[#This Row],[takes]]&gt;0,AvatarAbilities1[[#This Row],[wins]]/AvatarAbilities1[[#This Row],[takes]],0)</f>
        <v>0.44954128440366975</v>
      </c>
      <c r="G3">
        <v>1</v>
      </c>
      <c r="H3">
        <f>R3+R24+R45+R66+R87+R108</f>
        <v>20</v>
      </c>
      <c r="I3" s="18">
        <f>S3+S24+S45+S66+S87+S108</f>
        <v>95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</v>
      </c>
      <c r="U3" t="s">
        <v>200</v>
      </c>
      <c r="V3" s="16">
        <f>H5/SUM(AvatarEquip[bracers])</f>
        <v>0.5140845070422535</v>
      </c>
    </row>
    <row r="4" spans="1:22" x14ac:dyDescent="0.25">
      <c r="A4" t="s">
        <v>135</v>
      </c>
      <c r="B4">
        <f t="shared" ref="B4:B5" si="0">L4+L25+L46+L67+L88+L109</f>
        <v>18</v>
      </c>
      <c r="C4">
        <f t="shared" ref="C4:C5" si="1">M4+M25+M46+M67+M88+M109</f>
        <v>6</v>
      </c>
      <c r="D4" s="3">
        <f>IF(SUM(AvatarAbilities1[[#This Row],[takes]]) &gt; 0,AvatarAbilities1[[#This Row],[takes]]/SUM(AvatarAbilities1[takes]),0)</f>
        <v>0.12676056338028169</v>
      </c>
      <c r="E4" s="3">
        <f>IF(AvatarAbilities1[[#This Row],[takes]]&gt;0,AvatarAbilities1[[#This Row],[wins]]/AvatarAbilities1[[#This Row],[takes]],0)</f>
        <v>0.33333333333333331</v>
      </c>
      <c r="G4">
        <v>2</v>
      </c>
      <c r="H4">
        <f t="shared" ref="H4:H5" si="2">R4+R25+R46+R67+R88+R109</f>
        <v>49</v>
      </c>
      <c r="I4" s="18">
        <f t="shared" ref="I4:I5" si="3">S4+S25+S46+S67+S88+S109</f>
        <v>17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</v>
      </c>
      <c r="M4">
        <f>COUNTIF(Scenario0[winner1-ability1],AvatarAbilities1Scenario0[[#This Row],[ability]])+COUNTIF(Scenario0[winner2-ability1],AvatarAbilities1Scenario0[[#This Row],[ability]])</f>
        <v>1</v>
      </c>
      <c r="N4" s="3">
        <f>IF(SUM(AvatarAbilities1Scenario0[[#This Row],[takes]]) &gt; 0,AvatarAbilities1Scenario0[[#This Row],[takes]]/SUM(AvatarAbilities1Scenario0[takes]),0)</f>
        <v>1</v>
      </c>
      <c r="O4" s="3">
        <f>IF(AvatarAbilities1Scenario0[[#This Row],[takes]]&gt;0,AvatarAbilities1Scenario0[[#This Row],[wins]]/AvatarAbilities1Scenario0[[#This Row],[takes]],0)</f>
        <v>1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4" t="s">
        <v>179</v>
      </c>
      <c r="V4" s="3">
        <f>AvatarEquip[[#This Row],[chestpiece]]/SUM(AvatarEquip[chestpiece])</f>
        <v>0.11971830985915492</v>
      </c>
    </row>
    <row r="5" spans="1:22" x14ac:dyDescent="0.25">
      <c r="A5" t="s">
        <v>73</v>
      </c>
      <c r="B5">
        <f t="shared" si="0"/>
        <v>15</v>
      </c>
      <c r="C5">
        <f t="shared" si="1"/>
        <v>1</v>
      </c>
      <c r="D5" s="3">
        <f>IF(SUM(AvatarAbilities1[[#This Row],[takes]]) &gt; 0,AvatarAbilities1[[#This Row],[takes]]/SUM(AvatarAbilities1[takes]),0)</f>
        <v>0.10563380281690141</v>
      </c>
      <c r="E5" s="3">
        <f>IF(AvatarAbilities1[[#This Row],[takes]]&gt;0,AvatarAbilities1[[#This Row],[wins]]/AvatarAbilities1[[#This Row],[takes]],0)</f>
        <v>6.6666666666666666E-2</v>
      </c>
      <c r="G5">
        <v>3</v>
      </c>
      <c r="H5">
        <f t="shared" si="2"/>
        <v>73</v>
      </c>
      <c r="I5" s="18">
        <f t="shared" si="3"/>
        <v>30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5">
        <f>COUNTIF(Scenario0[winner1-ability1],AvatarAbilities1Scenario0[[#This Row],[ability]])+COUNTIF(Scenario0[winner2-ability1],AvatarAbilities1Scenario0[[#This Row],[ability]])</f>
        <v>0</v>
      </c>
      <c r="N5" s="3">
        <f>IF(SUM(AvatarAbilities1Scenario0[[#This Row],[takes]]) &gt; 0,AvatarAbilities1Scenario0[[#This Row],[takes]]/SUM(AvatarAbilities1Scenario0[takes]),0)</f>
        <v>0</v>
      </c>
      <c r="O5" s="3">
        <f>IF(AvatarAbilities1Scenario0[[#This Row],[takes]]&gt;0,AvatarAbilities1Scenario0[[#This Row],[wins]]/AvatarAbilities1Scenario0[[#This Row],[takes]],0)</f>
        <v>0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1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5" t="s">
        <v>180</v>
      </c>
      <c r="V5" s="16">
        <f>AvatarEquip[[#This Row],[chestpiece]]/SUM(AvatarEquip[chestpiece])</f>
        <v>0.21126760563380281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0.85915492957746475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0.58450704225352113</v>
      </c>
    </row>
    <row r="8" spans="1:22" x14ac:dyDescent="0.25">
      <c r="A8" s="2" t="s">
        <v>74</v>
      </c>
      <c r="B8" s="2">
        <f>L8+L29+L50+L71+L92+L113</f>
        <v>13</v>
      </c>
      <c r="C8" s="2">
        <f>M8+M29+M50+M71+M92+M113</f>
        <v>3</v>
      </c>
      <c r="D8" s="12">
        <f>IF(SUM(AvatarAbilities2[[#This Row],[takes]]) &gt; 0,AvatarAbilities2[[#This Row],[takes]]/SUM(AvatarAbilities2[takes]),0)</f>
        <v>0.10655737704918032</v>
      </c>
      <c r="E8" s="12">
        <f>IF(AvatarAbilities2[[#This Row],[takes]]&gt;0,AvatarAbilities2[[#This Row],[wins]]/AvatarAbilities2[[#This Row],[takes]],0)</f>
        <v>0.23076923076923078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</v>
      </c>
      <c r="M8" s="2">
        <f>COUNTIF(Scenario0[winner1-ability2],AvatarAbilities2Scenario0[[#This Row],[ability]])+COUNTIF(Scenario0[winner2-ability2],AvatarAbilities2Scenario0[[#This Row],[ability]])</f>
        <v>1</v>
      </c>
      <c r="N8" s="12">
        <f>IF(SUM(AvatarAbilities2Scenario0[[#This Row],[takes]]) &gt; 0,AvatarAbilities2Scenario0[[#This Row],[takes]]/SUM(AvatarAbilities2Scenario0[takes]),0)</f>
        <v>1</v>
      </c>
      <c r="O8" s="12">
        <f>IF(AvatarAbilities2Scenario0[[#This Row],[takes]]&gt;0,AvatarAbilities2Scenario0[[#This Row],[wins]]/AvatarAbilities2Scenario0[[#This Row],[takes]],0)</f>
        <v>1</v>
      </c>
      <c r="S8" s="18"/>
      <c r="U8" t="s">
        <v>178</v>
      </c>
      <c r="V8" s="16">
        <f>SUM(AvatarAbilities4[takes])/SUM(AvatarAbilities1[takes])</f>
        <v>0.30985915492957744</v>
      </c>
    </row>
    <row r="9" spans="1:22" x14ac:dyDescent="0.25">
      <c r="A9" t="s">
        <v>136</v>
      </c>
      <c r="B9" s="2">
        <f t="shared" ref="B9:B10" si="4">L9+L30+L51+L72+L93+L114</f>
        <v>71</v>
      </c>
      <c r="C9" s="2">
        <f t="shared" ref="C9:C10" si="5">M9+M30+M51+M72+M93+M114</f>
        <v>32</v>
      </c>
      <c r="D9" s="3">
        <f>IF(SUM(AvatarAbilities2[[#This Row],[takes]]) &gt; 0,AvatarAbilities2[[#This Row],[takes]]/SUM(AvatarAbilities2[takes]),0)</f>
        <v>0.58196721311475408</v>
      </c>
      <c r="E9" s="3">
        <f>IF(AvatarAbilities2[[#This Row],[takes]]&gt;0,AvatarAbilities2[[#This Row],[wins]]/AvatarAbilities2[[#This Row],[takes]],0)</f>
        <v>0.45070422535211269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9" s="2">
        <f>COUNTIF(Scenario0[winner1-ability2],AvatarAbilities2Scenario0[[#This Row],[ability]])+COUNTIF(Scenario0[winner2-ability2],AvatarAbilities2Scenario0[[#This Row],[ability]])</f>
        <v>0</v>
      </c>
      <c r="N9" s="3">
        <f>IF(SUM(AvatarAbilities2Scenario0[[#This Row],[takes]]) &gt; 0,AvatarAbilities2Scenario0[[#This Row],[takes]]/SUM(AvatarAbilities2Scenario0[takes]),0)</f>
        <v>0</v>
      </c>
      <c r="O9" s="3">
        <f>IF(AvatarAbilities2Scenario0[[#This Row],[takes]]&gt;0,AvatarAbilities2Scenario0[[#This Row],[wins]]/AvatarAbilities2Scenario0[[#This Row],[takes]],0)</f>
        <v>0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2.943661971830986</v>
      </c>
    </row>
    <row r="10" spans="1:22" x14ac:dyDescent="0.25">
      <c r="A10" s="10" t="s">
        <v>99</v>
      </c>
      <c r="B10" s="2">
        <f t="shared" si="4"/>
        <v>38</v>
      </c>
      <c r="C10" s="2">
        <f t="shared" si="5"/>
        <v>18</v>
      </c>
      <c r="D10" s="13">
        <f>IF(SUM(AvatarAbilities2[[#This Row],[takes]]) &gt; 0,AvatarAbilities2[[#This Row],[takes]]/SUM(AvatarAbilities2[takes]),0)</f>
        <v>0.31147540983606559</v>
      </c>
      <c r="E10" s="13">
        <f>IF(AvatarAbilities2[[#This Row],[takes]]&gt;0,AvatarAbilities2[[#This Row],[wins]]/AvatarAbilities2[[#This Row],[takes]],0)</f>
        <v>0.47368421052631576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10" s="2">
        <f>COUNTIF(Scenario0[winner1-ability2],AvatarAbilities2Scenario0[[#This Row],[ability]])+COUNTIF(Scenario0[winner2-ability2],AvatarAbilities2Scenario0[[#This Row],[ability]])</f>
        <v>0</v>
      </c>
      <c r="N10" s="13">
        <f>IF(SUM(AvatarAbilities2Scenario0[[#This Row],[takes]]) &gt; 0,AvatarAbilities2Scenario0[[#This Row],[takes]]/SUM(AvatarAbilities2Scenario0[takes]),0)</f>
        <v>0</v>
      </c>
      <c r="O10" s="13">
        <f>IF(AvatarAbilities2Scenario0[[#This Row],[takes]]&gt;0,AvatarAbilities2Scenario0[[#This Row],[wins]]/AvatarAbilities2Scenario0[[#This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36</v>
      </c>
      <c r="C13" s="1">
        <f>M13+M34+M55+M76+M97+M118</f>
        <v>17</v>
      </c>
      <c r="D13" s="14">
        <f>IF(SUM(AvatarAbilities3[[#This Row],[takes]]) &gt; 0,AvatarAbilities3[[#This Row],[takes]]/SUM(AvatarAbilities3[takes]),0)</f>
        <v>0.43373493975903615</v>
      </c>
      <c r="E13" s="14">
        <f>IF(AvatarAbilities3[[#This Row],[takes]]&gt;0,AvatarAbilities3[[#This Row],[wins]]/AvatarAbilities3[[#This Row],[takes]],0)</f>
        <v>0.47222222222222221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3" s="1">
        <f>COUNTIF(Scenario0[winner1-ability3],AvatarAbilities3Scenario0[[#This Row],[ability]])+COUNTIF(Scenario0[winner2-ability3],AvatarAbilities3Scenario0[[#This Row],[ability]])</f>
        <v>0</v>
      </c>
      <c r="N13" s="14">
        <f>IF(SUM(AvatarAbilities3Scenario0[[#This Row],[takes]]) &gt; 0,AvatarAbilities3Scenario0[[#This Row],[takes]]/SUM(AvatarAbilities3Scenario0[takes]),0)</f>
        <v>0</v>
      </c>
      <c r="O13" s="14">
        <f>IF(AvatarAbilities3Scenario0[[#This Row],[takes]]&gt;0,AvatarAbilities3Scenario0[[#This Row],[wins]]/AvatarAbilities3Scenario0[[#This Row],[takes]],0)</f>
        <v>0</v>
      </c>
      <c r="S13" s="18"/>
    </row>
    <row r="14" spans="1:22" x14ac:dyDescent="0.25">
      <c r="A14" s="2" t="s">
        <v>100</v>
      </c>
      <c r="B14" s="2">
        <f t="shared" ref="B14:B15" si="6">L14+L35+L56+L77+L98+L119</f>
        <v>8</v>
      </c>
      <c r="C14" s="2">
        <f t="shared" ref="C14:C15" si="7">M14+M35+M56+M77+M98+M119</f>
        <v>2</v>
      </c>
      <c r="D14" s="12">
        <f>IF(SUM(AvatarAbilities3[[#This Row],[takes]]) &gt; 0,AvatarAbilities3[[#This Row],[takes]]/SUM(AvatarAbilities3[takes]),0)</f>
        <v>9.6385542168674704E-2</v>
      </c>
      <c r="E14" s="12">
        <f>IF(AvatarAbilities3[[#This Row],[takes]]&gt;0,AvatarAbilities3[[#This Row],[wins]]/AvatarAbilities3[[#This Row],[takes]],0)</f>
        <v>0.25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</v>
      </c>
      <c r="M14" s="2">
        <f>COUNTIF(Scenario0[winner1-ability3],AvatarAbilities3Scenario0[[#This Row],[ability]])+COUNTIF(Scenario0[winner2-ability3],AvatarAbilities3Scenario0[[#This Row],[ability]])</f>
        <v>1</v>
      </c>
      <c r="N14" s="12">
        <f>IF(SUM(AvatarAbilities3Scenario0[[#This Row],[takes]]) &gt; 0,AvatarAbilities3Scenario0[[#This Row],[takes]]/SUM(AvatarAbilities3Scenario0[takes]),0)</f>
        <v>1</v>
      </c>
      <c r="O14" s="12">
        <f>IF(AvatarAbilities3Scenario0[[#This Row],[takes]]&gt;0,AvatarAbilities3Scenario0[[#This Row],[wins]]/AvatarAbilities3Scenario0[[#This Row],[takes]],0)</f>
        <v>1</v>
      </c>
      <c r="S14" s="18"/>
    </row>
    <row r="15" spans="1:22" x14ac:dyDescent="0.25">
      <c r="A15" s="11" t="s">
        <v>75</v>
      </c>
      <c r="B15" s="1">
        <f t="shared" si="6"/>
        <v>39</v>
      </c>
      <c r="C15" s="1">
        <f t="shared" si="7"/>
        <v>21</v>
      </c>
      <c r="D15" s="15">
        <f>IF(SUM(AvatarAbilities3[[#This Row],[takes]]) &gt; 0,AvatarAbilities3[[#This Row],[takes]]/SUM(AvatarAbilities3[takes]),0)</f>
        <v>0.46987951807228917</v>
      </c>
      <c r="E15" s="15">
        <f>IF(AvatarAbilities3[[#This Row],[takes]]&gt;0,AvatarAbilities3[[#This Row],[wins]]/AvatarAbilities3[[#This Row],[takes]],0)</f>
        <v>0.53846153846153844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5" s="1">
        <f>COUNTIF(Scenario0[winner1-ability3],AvatarAbilities3Scenario0[[#This Row],[ability]])+COUNTIF(Scenario0[winner2-ability3],AvatarAbilities3Scenario0[[#This Row],[ability]])</f>
        <v>0</v>
      </c>
      <c r="N15" s="15">
        <f>IF(SUM(AvatarAbilities3Scenario0[[#This Row],[takes]]) &gt; 0,AvatarAbilities3Scenario0[[#This Row],[takes]]/SUM(AvatarAbilities3Scenario0[takes]),0)</f>
        <v>0</v>
      </c>
      <c r="O15" s="15">
        <f>IF(AvatarAbilities3Scenario0[[#This Row],[takes]]&gt;0,AvatarAbilities3Scenario0[[#This Row],[wins]]/AvatarAbilities3Scenario0[[#This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15</v>
      </c>
      <c r="C18" s="2">
        <f>M18+M39+M60+M81+M102+M123</f>
        <v>10</v>
      </c>
      <c r="D18" s="12">
        <f>IF(SUM(AvatarAbilities4[[#This Row],[takes]]) &gt; 0,AvatarAbilities4[[#This Row],[takes]]/SUM(AvatarAbilities4[takes]),0)</f>
        <v>0.34090909090909088</v>
      </c>
      <c r="E18" s="12">
        <f>IF(AvatarAbilities4[[#This Row],[takes]]&gt;0,AvatarAbilities4[[#This Row],[wins]]/AvatarAbilities4[[#This Row],[takes]],0)</f>
        <v>0.66666666666666663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8" s="2">
        <f>COUNTIF(Scenario0[winner1-ability4],AvatarAbilities4Scenario0[[#This Row],[ability]])+COUNTIF(Scenario0[winner2-ability4],AvatarAbilities4Scenario0[[#This Row],[ability]])</f>
        <v>0</v>
      </c>
      <c r="N18" s="12">
        <f>IF(SUM(AvatarAbilities4Scenario0[[#This Row],[takes]]) &gt; 0,AvatarAbilities4Scenario0[[#This Row],[takes]]/SUM(AvatarAbilities4Scenario0[takes]),0)</f>
        <v>0</v>
      </c>
      <c r="O18" s="12">
        <f>IF(AvatarAbilities4Scenario0[[#This Row],[takes]]&gt;0,AvatarAbilities4Scenario0[[#This Row],[wins]]/AvatarAbilities4Scenario0[[#This Row],[takes]],0)</f>
        <v>0</v>
      </c>
      <c r="S18" s="18"/>
    </row>
    <row r="19" spans="1:20" x14ac:dyDescent="0.25">
      <c r="A19" s="2" t="s">
        <v>101</v>
      </c>
      <c r="B19" s="2">
        <f t="shared" ref="B19:B20" si="8">L19+L40+L61+L82+L103+L124</f>
        <v>16</v>
      </c>
      <c r="C19" s="2">
        <f t="shared" ref="C19:C20" si="9">M19+M40+M61+M82+M103+M124</f>
        <v>4</v>
      </c>
      <c r="D19" s="12">
        <f>IF(SUM(AvatarAbilities4[[#This Row],[takes]]) &gt; 0,AvatarAbilities4[[#This Row],[takes]]/SUM(AvatarAbilities4[takes]),0)</f>
        <v>0.36363636363636365</v>
      </c>
      <c r="E19" s="12">
        <f>IF(AvatarAbilities4[[#This Row],[takes]]&gt;0,AvatarAbilities4[[#This Row],[wins]]/AvatarAbilities4[[#This Row],[takes]],0)</f>
        <v>0.25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9" s="2">
        <f>COUNTIF(Scenario0[winner1-ability4],AvatarAbilities4Scenario0[[#This Row],[ability]])+COUNTIF(Scenario0[winner2-ability4],AvatarAbilities4Scenario0[[#This Row],[ability]])</f>
        <v>0</v>
      </c>
      <c r="N19" s="12">
        <f>IF(SUM(AvatarAbilities4Scenario0[[#This Row],[takes]]) &gt; 0,AvatarAbilities4Scenario0[[#This Row],[takes]]/SUM(AvatarAbilities4Scenario0[takes]),0)</f>
        <v>0</v>
      </c>
      <c r="O19" s="12">
        <f>IF(AvatarAbilities4Scenario0[[#This Row],[takes]]&gt;0,AvatarAbilities4Scenario0[[#This Row],[wins]]/AvatarAbilities4Scenario0[[#This Row],[takes]],0)</f>
        <v>0</v>
      </c>
      <c r="S19" s="18"/>
    </row>
    <row r="20" spans="1:20" ht="15.75" thickBot="1" x14ac:dyDescent="0.3">
      <c r="A20" s="10" t="s">
        <v>139</v>
      </c>
      <c r="B20" s="2">
        <f t="shared" si="8"/>
        <v>13</v>
      </c>
      <c r="C20" s="2">
        <f t="shared" si="9"/>
        <v>5</v>
      </c>
      <c r="D20" s="26">
        <f>IF(SUM(AvatarAbilities4[[#This Row],[takes]]) &gt; 0,AvatarAbilities4[[#This Row],[takes]]/SUM(AvatarAbilities4[takes]),0)</f>
        <v>0.29545454545454547</v>
      </c>
      <c r="E20" s="26">
        <f>IF(AvatarAbilities4[[#This Row],[takes]]&gt;0,AvatarAbilities4[[#This Row],[wins]]/AvatarAbilities4[[#This Row],[takes]],0)</f>
        <v>0.38461538461538464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20" s="25">
        <f>COUNTIF(Scenario0[winner1-ability4],AvatarAbilities4Scenario0[[#This Row],[ability]])+COUNTIF(Scenario0[winner2-ability4],AvatarAbilities4Scenario0[[#This Row],[ability]])</f>
        <v>0</v>
      </c>
      <c r="N20" s="26">
        <f>IF(SUM(AvatarAbilities4Scenario0[[#This Row],[takes]]) &gt; 0,AvatarAbilities4Scenario0[[#This Row],[takes]]/SUM(AvatarAbilities4Scenario0[takes]),0)</f>
        <v>0</v>
      </c>
      <c r="O20" s="26">
        <f>IF(AvatarAbilities4Scenario0[[#This Row],[takes]]&gt;0,AvatarAbilities4Scenario0[[#This Row],[wins]]/AvatarAbilities4Scenario0[[#This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4">
        <f>COUNTIF(Scenario1[winner1-ability1],AvatarAbilities1Scenario1[[#This Row],[ability]])+COUNTIF(Scenario1[winner2-ability1],AvatarAbilities1Scenario1[[#This Row],[ability]])</f>
        <v>0</v>
      </c>
      <c r="N24" s="3">
        <f>IF(SUM(AvatarAbilities1Scenario1[[#This Row],[takes]]) &gt; 0,AvatarAbilities1Scenario1[[#This Row],[takes]]/SUM(AvatarAbilities1Scenario1[takes]),0)</f>
        <v>0</v>
      </c>
      <c r="O24" s="3">
        <f>IF(AvatarAbilities1Scenario1[[#This Row],[takes]]&gt;0,AvatarAbilities1Scenario1[[#This Row],[wins]]/AvatarAbilities1Scenario1[[#This Row],[takes]],0)</f>
        <v>0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5">
        <f>COUNTIF(Scenario1[winner1-ability1],AvatarAbilities1Scenario1[[#This Row],[ability]])+COUNTIF(Scenario1[winner2-ability1],AvatarAbilities1Scenario1[[#This Row],[ability]])</f>
        <v>0</v>
      </c>
      <c r="N25" s="3">
        <f>IF(SUM(AvatarAbilities1Scenario1[[#This Row],[takes]]) &gt; 0,AvatarAbilities1Scenario1[[#This Row],[takes]]/SUM(AvatarAbilities1Scenario1[takes]),0)</f>
        <v>0</v>
      </c>
      <c r="O25" s="3">
        <f>IF(AvatarAbilities1Scenario1[[#This Row],[takes]]&gt;0,AvatarAbilities1Scenario1[[#This Row],[wins]]/AvatarAbilities1Scenario1[[#This Row],[takes]],0)</f>
        <v>0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6">
        <f>COUNTIF(Scenario1[winner1-ability1],AvatarAbilities1Scenario1[[#This Row],[ability]])+COUNTIF(Scenario1[winner2-ability1],AvatarAbilities1Scenario1[[#This Row],[ability]])</f>
        <v>0</v>
      </c>
      <c r="N26" s="3">
        <f>IF(SUM(AvatarAbilities1Scenario1[[#This Row],[takes]]) &gt; 0,AvatarAbilities1Scenario1[[#This Row],[takes]]/SUM(AvatarAbilities1Scenario1[takes]),0)</f>
        <v>0</v>
      </c>
      <c r="O26" s="3">
        <f>IF(AvatarAbilities1Scenario1[[#This Row],[takes]]&gt;0,AvatarAbilities1Scenario1[[#This Row],[wins]]/AvatarAbilities1Scenario1[[#This Row],[takes]],0)</f>
        <v>0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29" s="2">
        <f>COUNTIF(Scenario1[winner1-ability2],AvatarAbilities2Scenario1[[#This Row],[ability]])+COUNTIF(Scenario1[winner2-ability2],AvatarAbilities2Scenario1[[#This Row],[ability]])</f>
        <v>0</v>
      </c>
      <c r="N29" s="12">
        <f>IF(SUM(AvatarAbilities2Scenario1[[#This Row],[takes]]) &gt; 0,AvatarAbilities2Scenario1[[#This Row],[takes]]/SUM(AvatarAbilities2Scenario1[takes]),0)</f>
        <v>0</v>
      </c>
      <c r="O29" s="12">
        <f>IF(AvatarAbilities2Scenario1[[#This Row],[takes]]&gt;0,AvatarAbilities2Scenario1[[#This Row],[wins]]/AvatarAbilities2Scenario1[[#This Row],[takes]],0)</f>
        <v>0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0" s="2">
        <f>COUNTIF(Scenario1[winner1-ability2],AvatarAbilities2Scenario1[[#This Row],[ability]])+COUNTIF(Scenario1[winner2-ability2],AvatarAbilities2Scenario1[[#This Row],[ability]])</f>
        <v>0</v>
      </c>
      <c r="N30" s="3">
        <f>IF(SUM(AvatarAbilities2Scenario1[[#This Row],[takes]]) &gt; 0,AvatarAbilities2Scenario1[[#This Row],[takes]]/SUM(AvatarAbilities2Scenario1[takes]),0)</f>
        <v>0</v>
      </c>
      <c r="O30" s="3">
        <f>IF(AvatarAbilities2Scenario1[[#This Row],[takes]]&gt;0,AvatarAbilities2Scenario1[[#This Row],[wins]]/AvatarAbilities2Scenario1[[#This Row],[takes]],0)</f>
        <v>0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1" s="2">
        <f>COUNTIF(Scenario1[winner1-ability2],AvatarAbilities2Scenario1[[#This Row],[ability]])+COUNTIF(Scenario1[winner2-ability2],AvatarAbilities2Scenario1[[#This Row],[ability]])</f>
        <v>0</v>
      </c>
      <c r="N31" s="13">
        <f>IF(SUM(AvatarAbilities2Scenario1[[#This Row],[takes]]) &gt; 0,AvatarAbilities2Scenario1[[#This Row],[takes]]/SUM(AvatarAbilities2Scenario1[takes]),0)</f>
        <v>0</v>
      </c>
      <c r="O31" s="13">
        <f>IF(AvatarAbilities2Scenario1[[#This Row],[takes]]&gt;0,AvatarAbilities2Scenario1[[#This Row],[wins]]/AvatarAbilities2Scenario1[[#This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4" s="1">
        <f>COUNTIF(Scenario1[winner1-ability3],AvatarAbilities3Scenario1[[#This Row],[ability]])+COUNTIF(Scenario1[winner2-ability3],AvatarAbilities3Scenario1[[#This Row],[ability]])</f>
        <v>0</v>
      </c>
      <c r="N34" s="14">
        <f>IF(SUM(AvatarAbilities3Scenario1[[#This Row],[takes]]) &gt; 0,AvatarAbilities3Scenario1[[#This Row],[takes]]/SUM(AvatarAbilities3Scenario1[takes]),0)</f>
        <v>0</v>
      </c>
      <c r="O34" s="14">
        <f>IF(AvatarAbilities3Scenario1[[#This Row],[takes]]&gt;0,AvatarAbilities3Scenario1[[#This Row],[wins]]/AvatarAbilities3Scenario1[[#This Row],[takes]],0)</f>
        <v>0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5" s="2">
        <f>COUNTIF(Scenario1[winner1-ability3],AvatarAbilities3Scenario1[[#This Row],[ability]])+COUNTIF(Scenario1[winner2-ability3],AvatarAbilities3Scenario1[[#This Row],[ability]])</f>
        <v>0</v>
      </c>
      <c r="N35" s="12">
        <f>IF(SUM(AvatarAbilities3Scenario1[[#This Row],[takes]]) &gt; 0,AvatarAbilities3Scenario1[[#This Row],[takes]]/SUM(AvatarAbilities3Scenario1[takes]),0)</f>
        <v>0</v>
      </c>
      <c r="O35" s="12">
        <f>IF(AvatarAbilities3Scenario1[[#This Row],[takes]]&gt;0,AvatarAbilities3Scenario1[[#This Row],[wins]]/AvatarAbilities3Scenario1[[#This Row],[takes]],0)</f>
        <v>0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6" s="1">
        <f>COUNTIF(Scenario1[winner1-ability3],AvatarAbilities3Scenario1[[#This Row],[ability]])+COUNTIF(Scenario1[winner2-ability3],AvatarAbilities3Scenario1[[#This Row],[ability]])</f>
        <v>0</v>
      </c>
      <c r="N36" s="15">
        <f>IF(SUM(AvatarAbilities3Scenario1[[#This Row],[takes]]) &gt; 0,AvatarAbilities3Scenario1[[#This Row],[takes]]/SUM(AvatarAbilities3Scenario1[takes]),0)</f>
        <v>0</v>
      </c>
      <c r="O36" s="15">
        <f>IF(AvatarAbilities3Scenario1[[#This Row],[takes]]&gt;0,AvatarAbilities3Scenario1[[#This Row],[wins]]/AvatarAbilities3Scenario1[[#This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39" s="2">
        <f>COUNTIF(Scenario1[winner1-ability4],AvatarAbilities4Scenario1[[#This Row],[ability]])+COUNTIF(Scenario1[winner2-ability4],AvatarAbilities4Scenario1[[#This Row],[ability]])</f>
        <v>0</v>
      </c>
      <c r="N39" s="12">
        <f>IF(SUM(AvatarAbilities4Scenario1[[#This Row],[takes]]) &gt; 0,AvatarAbilities4Scenario1[[#This Row],[takes]]/SUM(AvatarAbilities4Scenario1[takes]),0)</f>
        <v>0</v>
      </c>
      <c r="O39" s="12">
        <f>IF(AvatarAbilities4Scenario1[[#This Row],[takes]]&gt;0,AvatarAbilities4Scenario1[[#This Row],[wins]]/AvatarAbilities4Scenario1[[#This Row],[takes]],0)</f>
        <v>0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0" s="2">
        <f>COUNTIF(Scenario1[winner1-ability4],AvatarAbilities4Scenario1[[#This Row],[ability]])+COUNTIF(Scenario1[winner2-ability4],AvatarAbilities4Scenario1[[#This Row],[ability]])</f>
        <v>0</v>
      </c>
      <c r="N40" s="12">
        <f>IF(SUM(AvatarAbilities4Scenario1[[#This Row],[takes]]) &gt; 0,AvatarAbilities4Scenario1[[#This Row],[takes]]/SUM(AvatarAbilities4Scenario1[takes]),0)</f>
        <v>0</v>
      </c>
      <c r="O40" s="12">
        <f>IF(AvatarAbilities4Scenario1[[#This Row],[takes]]&gt;0,AvatarAbilities4Scenario1[[#This Row],[wins]]/AvatarAbilities4Scenario1[[#This Row],[takes]],0)</f>
        <v>0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1" s="25">
        <f>COUNTIF(Scenario1[winner1-ability4],AvatarAbilities4Scenario1[[#This Row],[ability]])+COUNTIF(Scenario1[winner2-ability4],AvatarAbilities4Scenario1[[#This Row],[ability]])</f>
        <v>0</v>
      </c>
      <c r="N41" s="26">
        <f>IF(SUM(AvatarAbilities4Scenario1[[#This Row],[takes]]) &gt; 0,AvatarAbilities4Scenario1[[#This Row],[takes]]/SUM(AvatarAbilities4Scenario1[takes]),0)</f>
        <v>0</v>
      </c>
      <c r="O41" s="26">
        <f>IF(AvatarAbilities4Scenario1[[#This Row],[takes]]&gt;0,AvatarAbilities4Scenario1[[#This Row],[wins]]/AvatarAbilities4Scenario1[[#This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6</v>
      </c>
      <c r="M45">
        <f>COUNTIF(Scenario2[winner1-ability1],AvatarAbilities1Scenario2[[#This Row],[ability]])</f>
        <v>3</v>
      </c>
      <c r="N45" s="3">
        <f>IF(SUM(AvatarAbilities1Scenario2[[#This Row],[takes]]) &gt; 0,AvatarAbilities1Scenario2[[#This Row],[takes]]/SUM(AvatarAbilities1Scenario2[takes]),0)</f>
        <v>0.42857142857142855</v>
      </c>
      <c r="O45" s="3">
        <f>IF(AvatarAbilities1Scenario2[[#This Row],[takes]]&gt;0,AvatarAbilities1Scenario2[[#This Row],[wins]]/AvatarAbilities1Scenario2[[#This Row],[takes]],0)</f>
        <v>0.5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0</v>
      </c>
      <c r="S45" s="18">
        <f>COUNTIFS(Scenario2[winner1],"avatar",Scenario2[winner1-cp],AvatarEquipScenario2[[#This Row],[level]])+COUNTIFS(Scenario2[loser1],"avatar",Scenario2[loser1-cp],AvatarEquipScenario2[[#This Row],[level]])</f>
        <v>6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8</v>
      </c>
      <c r="M46">
        <f>COUNTIF(Scenario2[winner1-ability1],AvatarAbilities1Scenario2[[#This Row],[ability]])</f>
        <v>1</v>
      </c>
      <c r="N46" s="3">
        <f>IF(SUM(AvatarAbilities1Scenario2[[#This Row],[takes]]) &gt; 0,AvatarAbilities1Scenario2[[#This Row],[takes]]/SUM(AvatarAbilities1Scenario2[takes]),0)</f>
        <v>0.5714285714285714</v>
      </c>
      <c r="O46" s="3">
        <f>IF(AvatarAbilities1Scenario2[[#This Row],[takes]]&gt;0,AvatarAbilities1Scenario2[[#This Row],[wins]]/AvatarAbilities1Scenario2[[#This Row],[takes]],0)</f>
        <v>0.125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6</v>
      </c>
      <c r="S46" s="18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8</v>
      </c>
      <c r="S47" s="18">
        <f>COUNTIFS(Scenario2[winner1],"avatar",Scenario2[winner1-cp],AvatarEquipScenario2[[#This Row],[level]])+COUNTIFS(Scenario2[loser1],"avatar",Scenario2[loser1-cp],AvatarEquipScenario2[[#This Row],[level]])</f>
        <v>7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4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0.30769230769230771</v>
      </c>
      <c r="O50" s="12">
        <f>IF(AvatarAbilities2Scenario2[[#This Row],[takes]]&gt;0,AvatarAbilities2Scenario2[[#This Row],[wins]]/AvatarAbilities2Scenario2[[#This Row],[takes]],0)</f>
        <v>0.25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5</v>
      </c>
      <c r="M51" s="2">
        <f>COUNTIF(Scenario2[winner1-ability2],AvatarAbilities2Scenario2[[#This Row],[ability]])</f>
        <v>1</v>
      </c>
      <c r="N51" s="3">
        <f>IF(SUM(AvatarAbilities2Scenario2[[#This Row],[takes]]) &gt; 0,AvatarAbilities2Scenario2[[#This Row],[takes]]/SUM(AvatarAbilities2Scenario2[takes]),0)</f>
        <v>0.38461538461538464</v>
      </c>
      <c r="O51" s="3">
        <f>IF(AvatarAbilities2Scenario2[[#This Row],[takes]]&gt;0,AvatarAbilities2Scenario2[[#This Row],[wins]]/AvatarAbilities2Scenario2[[#This Row],[takes]],0)</f>
        <v>0.2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4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0.30769230769230771</v>
      </c>
      <c r="O52" s="13">
        <f>IF(AvatarAbilities2Scenario2[[#This Row],[takes]]&gt;0,AvatarAbilities2Scenario2[[#This Row],[wins]]/AvatarAbilities2Scenario2[[#This Row],[takes]],0)</f>
        <v>0.25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7</v>
      </c>
      <c r="M55" s="1">
        <f>COUNTIF(Scenario2[winner1-ability3],AvatarAbilities3Scenario2[[#This Row],[ability]])</f>
        <v>2</v>
      </c>
      <c r="N55" s="14">
        <f>IF(SUM(AvatarAbilities3Scenario2[[#This Row],[takes]]) &gt; 0,AvatarAbilities3Scenario2[[#This Row],[takes]]/SUM(AvatarAbilities3Scenario2[takes]),0)</f>
        <v>0.77777777777777779</v>
      </c>
      <c r="O55" s="14">
        <f>IF(AvatarAbilities3Scenario2[[#This Row],[takes]]&gt;0,AvatarAbilities3Scenario2[[#This Row],[wins]]/AvatarAbilities3Scenario2[[#This Row],[takes]],0)</f>
        <v>0.2857142857142857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2</v>
      </c>
      <c r="M57" s="1">
        <f>COUNTIF(Scenario2[winner1-ability3],AvatarAbilities3Scenario2[[#This Row],[ability]])</f>
        <v>0</v>
      </c>
      <c r="N57" s="15">
        <f>IF(SUM(AvatarAbilities3Scenario2[[#This Row],[takes]]) &gt; 0,AvatarAbilities3Scenario2[[#This Row],[takes]]/SUM(AvatarAbilities3Scenario2[takes]),0)</f>
        <v>0.22222222222222221</v>
      </c>
      <c r="O57" s="15">
        <f>IF(AvatarAbilities3Scenario2[[#This Row],[takes]]&gt;0,AvatarAbilities3Scenario2[[#This Row],[wins]]/AvatarAbilities3Scenario2[[#This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1</v>
      </c>
      <c r="M60" s="2">
        <f>COUNTIF(Scenario2[winner1-ability4],AvatarAbilities4Scenario2[[#This Row],[ability]])</f>
        <v>1</v>
      </c>
      <c r="N60" s="12">
        <f>IF(SUM(AvatarAbilities4Scenario2[[#This Row],[takes]]) &gt; 0,AvatarAbilities4Scenario2[[#This Row],[takes]]/SUM(AvatarAbilities4Scenario2[takes]),0)</f>
        <v>0.2</v>
      </c>
      <c r="O60" s="12">
        <f>IF(AvatarAbilities4Scenario2[[#This Row],[takes]]&gt;0,AvatarAbilities4Scenario2[[#This Row],[wins]]/AvatarAbilities4Scenario2[[#This Row],[takes]],0)</f>
        <v>1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4</v>
      </c>
      <c r="M62" s="25">
        <f>COUNTIF(Scenario2[winner1-ability4],AvatarAbilities4Scenario2[[#This Row],[ability]])</f>
        <v>1</v>
      </c>
      <c r="N62" s="26">
        <f>IF(SUM(AvatarAbilities4Scenario2[[#This Row],[takes]]) &gt; 0,AvatarAbilities4Scenario2[[#This Row],[takes]]/SUM(AvatarAbilities4Scenario2[takes]),0)</f>
        <v>0.8</v>
      </c>
      <c r="O62" s="26">
        <f>IF(AvatarAbilities4Scenario2[[#This Row],[takes]]&gt;0,AvatarAbilities4Scenario2[[#This Row],[wins]]/AvatarAbilities4Scenario2[[#This Row],[takes]],0)</f>
        <v>0.25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16</v>
      </c>
      <c r="M66">
        <f>COUNTIF(Scenario3[winner1-ability1],AvatarAbilities1Scenario3[[#This Row],[ability]])</f>
        <v>8</v>
      </c>
      <c r="N66" s="3">
        <f>IF(SUM(AvatarAbilities1Scenario3[[#This Row],[takes]]) &gt; 0,AvatarAbilities1Scenario3[[#This Row],[takes]]/SUM(AvatarAbilities1Scenario3[takes]),0)</f>
        <v>0.76190476190476186</v>
      </c>
      <c r="O66" s="3">
        <f>IF(AvatarAbilities1Scenario3[[#This Row],[takes]]&gt;0,AvatarAbilities1Scenario3[[#This Row],[wins]]/AvatarAbilities1Scenario3[[#This Row],[takes]],0)</f>
        <v>0.5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4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4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2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9.5238095238095233E-2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2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3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0.14285714285714285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15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3</v>
      </c>
      <c r="M71" s="2">
        <f>COUNTIF(Scenario3[winner1-ability2],AvatarAbilities2Scenario3[[#This Row],[ability]])</f>
        <v>0</v>
      </c>
      <c r="N71" s="12">
        <f>IF(SUM(AvatarAbilities2Scenario3[[#This Row],[takes]]) &gt; 0,AvatarAbilities2Scenario3[[#This Row],[takes]]/SUM(AvatarAbilities2Scenario3[takes]),0)</f>
        <v>0.15</v>
      </c>
      <c r="O71" s="12">
        <f>IF(AvatarAbilities2Scenario3[[#This Row],[takes]]&gt;0,AvatarAbilities2Scenario3[[#This Row],[wins]]/AvatarAbilities2Scenario3[[#This Row],[takes]],0)</f>
        <v>0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15</v>
      </c>
      <c r="M72" s="2">
        <f>COUNTIF(Scenario3[winner1-ability2],AvatarAbilities2Scenario3[[#This Row],[ability]])</f>
        <v>7</v>
      </c>
      <c r="N72" s="3">
        <f>IF(SUM(AvatarAbilities2Scenario3[[#This Row],[takes]]) &gt; 0,AvatarAbilities2Scenario3[[#This Row],[takes]]/SUM(AvatarAbilities2Scenario3[takes]),0)</f>
        <v>0.75</v>
      </c>
      <c r="O72" s="3">
        <f>IF(AvatarAbilities2Scenario3[[#This Row],[takes]]&gt;0,AvatarAbilities2Scenario3[[#This Row],[wins]]/AvatarAbilities2Scenario3[[#This Row],[takes]],0)</f>
        <v>0.46666666666666667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2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0.1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11</v>
      </c>
      <c r="M76" s="1">
        <f>COUNTIF(Scenario3[winner1-ability3],AvatarAbilities3Scenario3[[#This Row],[ability]])</f>
        <v>7</v>
      </c>
      <c r="N76" s="14">
        <f>IF(SUM(AvatarAbilities3Scenario3[[#This Row],[takes]]) &gt; 0,AvatarAbilities3Scenario3[[#This Row],[takes]]/SUM(AvatarAbilities3Scenario3[takes]),0)</f>
        <v>0.6470588235294118</v>
      </c>
      <c r="O76" s="14">
        <f>IF(AvatarAbilities3Scenario3[[#This Row],[takes]]&gt;0,AvatarAbilities3Scenario3[[#This Row],[wins]]/AvatarAbilities3Scenario3[[#This Row],[takes]],0)</f>
        <v>0.63636363636363635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3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0.17647058823529413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3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0.17647058823529413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1" s="2">
        <f>COUNTIF(Scenario3[winner1-ability4],AvatarAbilities4Scenario3[[#This Row],[ability]])</f>
        <v>4</v>
      </c>
      <c r="N81" s="12">
        <f>IF(SUM(AvatarAbilities4Scenario3[[#This Row],[takes]]) &gt; 0,AvatarAbilities4Scenario3[[#This Row],[takes]]/SUM(AvatarAbilities4Scenario3[takes]),0)</f>
        <v>0.46153846153846156</v>
      </c>
      <c r="O81" s="12">
        <f>IF(AvatarAbilities4Scenario3[[#This Row],[takes]]&gt;0,AvatarAbilities4Scenario3[[#This Row],[wins]]/AvatarAbilities4Scenario3[[#This Row],[takes]],0)</f>
        <v>0.66666666666666663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7.6923076923076927E-2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3" s="2">
        <f>COUNTIF(Scenario3[winner1-ability4],AvatarAbilities4Scenario3[[#This Row],[ability]])</f>
        <v>2</v>
      </c>
      <c r="N83" s="26">
        <f>IF(SUM(AvatarAbilities4Scenario3[[#This Row],[takes]]) &gt; 0,AvatarAbilities4Scenario3[[#This Row],[takes]]/SUM(AvatarAbilities4Scenario3[takes]),0)</f>
        <v>0.46153846153846156</v>
      </c>
      <c r="O83" s="26">
        <f>IF(AvatarAbilities4Scenario3[[#This Row],[takes]]&gt;0,AvatarAbilities4Scenario3[[#This Row],[wins]]/AvatarAbilities4Scenario3[[#This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1</v>
      </c>
      <c r="M87">
        <f>COUNTIF(Scenario4[winner1-ability1],AvatarAbilities1Scenario4[[#This Row],[ability]])</f>
        <v>0</v>
      </c>
      <c r="N87" s="3">
        <f>IF(SUM(AvatarAbilities1Scenario4[[#This Row],[takes]]) &gt; 0,AvatarAbilities1Scenario4[[#This Row],[takes]]/SUM(AvatarAbilities1Scenario4[takes]),0)</f>
        <v>1</v>
      </c>
      <c r="O87" s="3">
        <f>IF(AvatarAbilities1Scenario4[[#This Row],[takes]]&gt;0,AvatarAbilities1Scenario4[[#This Row],[wins]]/AvatarAbilities1Scenario4[[#This Row],[takes]],0)</f>
        <v>0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0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2" s="2">
        <f>COUNTIF(Scenario4[winner1-ability2],AvatarAbilities2Scenario4[[#This Row],[ability]])</f>
        <v>0</v>
      </c>
      <c r="N92" s="12">
        <f>IF(SUM(AvatarAbilities2Scenario4[[#This Row],[takes]]) &gt; 0,AvatarAbilities2Scenario4[[#This Row],[takes]]/SUM(AvatarAbilities2Scenario4[takes]),0)</f>
        <v>0</v>
      </c>
      <c r="O92" s="12">
        <f>IF(AvatarAbilities2Scenario4[[#This Row],[takes]]&gt;0,AvatarAbilities2Scenario4[[#This Row],[wins]]/AvatarAbilities2Scenario4[[#This Row],[takes]],0)</f>
        <v>0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</v>
      </c>
      <c r="M93" s="2">
        <f>COUNTIF(Scenario4[winner1-ability2],AvatarAbilities2Scenario4[[#This Row],[ability]])</f>
        <v>0</v>
      </c>
      <c r="N93" s="3">
        <f>IF(SUM(AvatarAbilities2Scenario4[[#This Row],[takes]]) &gt; 0,AvatarAbilities2Scenario4[[#This Row],[takes]]/SUM(AvatarAbilities2Scenario4[takes]),0)</f>
        <v>1</v>
      </c>
      <c r="O93" s="3">
        <f>IF(AvatarAbilities2Scenario4[[#This Row],[takes]]&gt;0,AvatarAbilities2Scenario4[[#This Row],[wins]]/AvatarAbilities2Scenario4[[#This Row],[takes]],0)</f>
        <v>0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7" s="1">
        <f>COUNTIF(Scenario4[winner1-ability3],AvatarAbilities3Scenario4[[#This Row],[ability]])</f>
        <v>0</v>
      </c>
      <c r="N97" s="14">
        <f>IF(SUM(AvatarAbilities3Scenario4[[#This Row],[takes]]) &gt; 0,AvatarAbilities3Scenario4[[#This Row],[takes]]/SUM(AvatarAbilities3Scenario4[takes]),0)</f>
        <v>0</v>
      </c>
      <c r="O97" s="14">
        <f>IF(AvatarAbilities3Scenario4[[#This Row],[takes]]&gt;0,AvatarAbilities3Scenario4[[#This Row],[wins]]/AvatarAbilities3Scenario4[[#This Row],[takes]],0)</f>
        <v>0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8" s="2">
        <f>COUNTIF(Scenario4[winner1-ability3],AvatarAbilities3Scenario4[[#This Row],[ability]])</f>
        <v>0</v>
      </c>
      <c r="N98" s="12">
        <f>IF(SUM(AvatarAbilities3Scenario4[[#This Row],[takes]]) &gt; 0,AvatarAbilities3Scenario4[[#This Row],[takes]]/SUM(AvatarAbilities3Scenario4[takes]),0)</f>
        <v>0</v>
      </c>
      <c r="O98" s="12">
        <f>IF(AvatarAbilities3Scenario4[[#This Row],[takes]]&gt;0,AvatarAbilities3Scenario4[[#This Row],[wins]]/AvatarAbilities3Scenario4[[#This Row],[takes]],0)</f>
        <v>0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0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2" s="2">
        <f>COUNTIF(Scenario4[winner1-ability4],AvatarAbilities4Scenario4[[#This Row],[ability]])</f>
        <v>0</v>
      </c>
      <c r="N102" s="12">
        <f>IF(SUM(AvatarAbilities4Scenario4[[#This Row],[takes]]) &gt; 0,AvatarAbilities4Scenario4[[#This Row],[takes]]/SUM(AvatarAbilities4Scenario4[takes]),0)</f>
        <v>0</v>
      </c>
      <c r="O102" s="12">
        <f>IF(AvatarAbilities4Scenario4[[#This Row],[takes]]&gt;0,AvatarAbilities4Scenario4[[#This Row],[wins]]/AvatarAbilities4Scenario4[[#This Row],[takes]],0)</f>
        <v>0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0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4" s="2">
        <f>COUNTIF(Scenario4[winner1-ability4],AvatarAbilities4Scenario4[[#This Row],[ability]])</f>
        <v>0</v>
      </c>
      <c r="N104" s="26">
        <f>IF(SUM(AvatarAbilities4Scenario4[[#This Row],[takes]]) &gt; 0,AvatarAbilities4Scenario4[[#This Row],[takes]]/SUM(AvatarAbilities4Scenario4[takes]),0)</f>
        <v>0</v>
      </c>
      <c r="O104" s="26">
        <f>IF(AvatarAbilities4Scenario4[[#This Row],[takes]]&gt;0,AvatarAbilities4Scenario4[[#This Row],[wins]]/AvatarAbilities4Scenario4[[#This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86</v>
      </c>
      <c r="M108">
        <f>COUNTIF(Scenario5[winner1-ability1],AvatarAbilities1Scenario5[[#This Row],[ability]])+COUNTIF(Scenario5[winner2-ability1],AvatarAbilities1Scenario5[[#This Row],[ability]])</f>
        <v>38</v>
      </c>
      <c r="N108" s="3">
        <f>IF(SUM(AvatarAbilities1Scenario5[[#This Row],[takes]]) &gt; 0,AvatarAbilities1Scenario5[[#This Row],[takes]]/SUM(AvatarAbilities1Scenario5[takes]),0)</f>
        <v>0.81904761904761902</v>
      </c>
      <c r="O108" s="3">
        <f>IF(AvatarAbilities1Scenario5[[#This Row],[takes]]&gt;0,AvatarAbilities1Scenario5[[#This Row],[wins]]/AvatarAbilities1Scenario5[[#This Row],[takes]],0)</f>
        <v>0.44186046511627908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16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83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7</v>
      </c>
      <c r="M109">
        <f>COUNTIF(Scenario5[winner1-ability1],AvatarAbilities1Scenario5[[#This Row],[ability]])+COUNTIF(Scenario5[winner2-ability1],AvatarAbilities1Scenario5[[#This Row],[ability]])</f>
        <v>4</v>
      </c>
      <c r="N109" s="3">
        <f>IF(SUM(AvatarAbilities1Scenario5[[#This Row],[takes]]) &gt; 0,AvatarAbilities1Scenario5[[#This Row],[takes]]/SUM(AvatarAbilities1Scenario5[takes]),0)</f>
        <v>6.6666666666666666E-2</v>
      </c>
      <c r="O109" s="3">
        <f>IF(AvatarAbilities1Scenario5[[#This Row],[takes]]&gt;0,AvatarAbilities1Scenario5[[#This Row],[wins]]/AvatarAbilities1Scenario5[[#This Row],[takes]],0)</f>
        <v>0.5714285714285714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40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14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12</v>
      </c>
      <c r="M110">
        <f>COUNTIF(Scenario5[winner1-ability1],AvatarAbilities1Scenario5[[#This Row],[ability]])+COUNTIF(Scenario5[winner2-ability1],AvatarAbilities1Scenario5[[#This Row],[ability]])</f>
        <v>1</v>
      </c>
      <c r="N110" s="3">
        <f>IF(SUM(AvatarAbilities1Scenario5[[#This Row],[takes]]) &gt; 0,AvatarAbilities1Scenario5[[#This Row],[takes]]/SUM(AvatarAbilities1Scenario5[takes]),0)</f>
        <v>0.11428571428571428</v>
      </c>
      <c r="O110" s="3">
        <f>IF(AvatarAbilities1Scenario5[[#This Row],[takes]]&gt;0,AvatarAbilities1Scenario5[[#This Row],[wins]]/AvatarAbilities1Scenario5[[#This Row],[takes]],0)</f>
        <v>8.3333333333333329E-2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49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5</v>
      </c>
      <c r="M113" s="2">
        <f>COUNTIF(Scenario5[winner1-ability2],AvatarAbilities2Scenario5[[#This Row],[ability]])+COUNTIF(Scenario5[winner2-ability2],AvatarAbilities2Scenario5[[#This Row],[ability]])</f>
        <v>1</v>
      </c>
      <c r="N113" s="12">
        <f>IF(SUM(AvatarAbilities2Scenario5[[#This Row],[takes]]) &gt; 0,AvatarAbilities2Scenario5[[#This Row],[takes]]/SUM(AvatarAbilities2Scenario5[takes]),0)</f>
        <v>5.7471264367816091E-2</v>
      </c>
      <c r="O113" s="12">
        <f>IF(AvatarAbilities2Scenario5[[#This Row],[takes]]&gt;0,AvatarAbilities2Scenario5[[#This Row],[wins]]/AvatarAbilities2Scenario5[[#This Row],[takes]],0)</f>
        <v>0.2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50</v>
      </c>
      <c r="M114" s="2">
        <f>COUNTIF(Scenario5[winner1-ability2],AvatarAbilities2Scenario5[[#This Row],[ability]])+COUNTIF(Scenario5[winner2-ability2],AvatarAbilities2Scenario5[[#This Row],[ability]])</f>
        <v>24</v>
      </c>
      <c r="N114" s="3">
        <f>IF(SUM(AvatarAbilities2Scenario5[[#This Row],[takes]]) &gt; 0,AvatarAbilities2Scenario5[[#This Row],[takes]]/SUM(AvatarAbilities2Scenario5[takes]),0)</f>
        <v>0.57471264367816088</v>
      </c>
      <c r="O114" s="3">
        <f>IF(AvatarAbilities2Scenario5[[#This Row],[takes]]&gt;0,AvatarAbilities2Scenario5[[#This Row],[wins]]/AvatarAbilities2Scenario5[[#This Row],[takes]],0)</f>
        <v>0.48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32</v>
      </c>
      <c r="M115" s="2">
        <f>COUNTIF(Scenario5[winner1-ability2],AvatarAbilities2Scenario5[[#This Row],[ability]])+COUNTIF(Scenario5[winner2-ability2],AvatarAbilities2Scenario5[[#This Row],[ability]])</f>
        <v>17</v>
      </c>
      <c r="N115" s="13">
        <f>IF(SUM(AvatarAbilities2Scenario5[[#This Row],[takes]]) &gt; 0,AvatarAbilities2Scenario5[[#This Row],[takes]]/SUM(AvatarAbilities2Scenario5[takes]),0)</f>
        <v>0.36781609195402298</v>
      </c>
      <c r="O115" s="13">
        <f>IF(AvatarAbilities2Scenario5[[#This Row],[takes]]&gt;0,AvatarAbilities2Scenario5[[#This Row],[wins]]/AvatarAbilities2Scenario5[[#This Row],[takes]],0)</f>
        <v>0.53125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18</v>
      </c>
      <c r="M118" s="1">
        <f>COUNTIF(Scenario5[winner1-ability3],AvatarAbilities3Scenario5[[#This Row],[ability]])+COUNTIF(Scenario5[winner2-ability3],AvatarAbilities3Scenario5[[#This Row],[ability]])</f>
        <v>8</v>
      </c>
      <c r="N118" s="14">
        <f>IF(SUM(AvatarAbilities3Scenario5[[#This Row],[takes]]) &gt; 0,AvatarAbilities3Scenario5[[#This Row],[takes]]/SUM(AvatarAbilities3Scenario5[takes]),0)</f>
        <v>0.32142857142857145</v>
      </c>
      <c r="O118" s="14">
        <f>IF(AvatarAbilities3Scenario5[[#This Row],[takes]]&gt;0,AvatarAbilities3Scenario5[[#This Row],[wins]]/AvatarAbilities3Scenario5[[#This Row],[takes]],0)</f>
        <v>0.44444444444444442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4</v>
      </c>
      <c r="M119" s="2">
        <f>COUNTIF(Scenario5[winner1-ability3],AvatarAbilities3Scenario5[[#This Row],[ability]])+COUNTIF(Scenario5[winner2-ability3],AvatarAbilities3Scenario5[[#This Row],[ability]])</f>
        <v>1</v>
      </c>
      <c r="N119" s="12">
        <f>IF(SUM(AvatarAbilities3Scenario5[[#This Row],[takes]]) &gt; 0,AvatarAbilities3Scenario5[[#This Row],[takes]]/SUM(AvatarAbilities3Scenario5[takes]),0)</f>
        <v>7.1428571428571425E-2</v>
      </c>
      <c r="O119" s="12">
        <f>IF(AvatarAbilities3Scenario5[[#This Row],[takes]]&gt;0,AvatarAbilities3Scenario5[[#This Row],[wins]]/AvatarAbilities3Scenario5[[#This Row],[takes]],0)</f>
        <v>0.25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34</v>
      </c>
      <c r="M120" s="1">
        <f>COUNTIF(Scenario5[winner1-ability3],AvatarAbilities3Scenario5[[#This Row],[ability]])+COUNTIF(Scenario5[winner2-ability3],AvatarAbilities3Scenario5[[#This Row],[ability]])</f>
        <v>21</v>
      </c>
      <c r="N120" s="15">
        <f>IF(SUM(AvatarAbilities3Scenario5[[#This Row],[takes]]) &gt; 0,AvatarAbilities3Scenario5[[#This Row],[takes]]/SUM(AvatarAbilities3Scenario5[takes]),0)</f>
        <v>0.6071428571428571</v>
      </c>
      <c r="O120" s="15">
        <f>IF(AvatarAbilities3Scenario5[[#This Row],[takes]]&gt;0,AvatarAbilities3Scenario5[[#This Row],[wins]]/AvatarAbilities3Scenario5[[#This Row],[takes]],0)</f>
        <v>0.61764705882352944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8</v>
      </c>
      <c r="M123" s="2">
        <f>COUNTIF(Scenario5[winner1-ability4],AvatarAbilities4Scenario5[[#This Row],[ability]])+COUNTIF(Scenario5[winner2-ability4],AvatarAbilities4Scenario5[[#This Row],[ability]])</f>
        <v>5</v>
      </c>
      <c r="N123" s="12">
        <f>IF(SUM(AvatarAbilities4Scenario5[[#This Row],[takes]]) &gt; 0,AvatarAbilities4Scenario5[[#This Row],[takes]]/SUM(AvatarAbilities4Scenario5[takes]),0)</f>
        <v>0.30769230769230771</v>
      </c>
      <c r="O123" s="12">
        <f>IF(AvatarAbilities4Scenario5[[#This Row],[takes]]&gt;0,AvatarAbilities4Scenario5[[#This Row],[wins]]/AvatarAbilities4Scenario5[[#This Row],[takes]],0)</f>
        <v>0.625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15</v>
      </c>
      <c r="M124" s="2">
        <f>COUNTIF(Scenario5[winner1-ability4],AvatarAbilities4Scenario5[[#This Row],[ability]])+COUNTIF(Scenario5[winner2-ability4],AvatarAbilities4Scenario5[[#This Row],[ability]])</f>
        <v>4</v>
      </c>
      <c r="N124" s="12">
        <f>IF(SUM(AvatarAbilities4Scenario5[[#This Row],[takes]]) &gt; 0,AvatarAbilities4Scenario5[[#This Row],[takes]]/SUM(AvatarAbilities4Scenario5[takes]),0)</f>
        <v>0.57692307692307687</v>
      </c>
      <c r="O124" s="12">
        <f>IF(AvatarAbilities4Scenario5[[#This Row],[takes]]&gt;0,AvatarAbilities4Scenario5[[#This Row],[wins]]/AvatarAbilities4Scenario5[[#This Row],[takes]],0)</f>
        <v>0.26666666666666666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3</v>
      </c>
      <c r="M125" s="2">
        <f>COUNTIF(Scenario5[winner1-ability4],AvatarAbilities4Scenario5[[#This Row],[ability]])+COUNTIF(Scenario5[winner2-ability4],AvatarAbilities4Scenario5[[#This Row],[ability]])</f>
        <v>2</v>
      </c>
      <c r="N125" s="26">
        <f>IF(SUM(AvatarAbilities4Scenario5[[#This Row],[takes]]) &gt; 0,AvatarAbilities4Scenario5[[#This Row],[takes]]/SUM(AvatarAbilities4Scenario5[takes]),0)</f>
        <v>0.11538461538461539</v>
      </c>
      <c r="O125" s="26">
        <f>IF(AvatarAbilities4Scenario5[[#This Row],[takes]]&gt;0,AvatarAbilities4Scenario5[[#This Row],[wins]]/AvatarAbilities4Scenario5[[#This Row],[takes]],0)</f>
        <v>0.66666666666666663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I27" sqref="I27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0.10714285714285714</v>
      </c>
    </row>
    <row r="3" spans="1:22" x14ac:dyDescent="0.25">
      <c r="A3" t="s">
        <v>47</v>
      </c>
      <c r="B3">
        <f>L3+L24+L45+L66+L87+L108</f>
        <v>3</v>
      </c>
      <c r="C3">
        <f>M3+M24+M45+M66+M87+M108</f>
        <v>3</v>
      </c>
      <c r="D3" s="3">
        <f>IF(SUM(ShadowAbilities1[[#This Row],[takes]]) &gt; 0,ShadowAbilities1[[#This Row],[takes]]/SUM(ShadowAbilities1[takes]),0)</f>
        <v>2.1428571428571429E-2</v>
      </c>
      <c r="E3" s="3">
        <f>IF(ShadowAbilities1[[#This Row],[takes]]&gt;0,ShadowAbilities1[[#This Row],[wins]]/ShadowAbilities1[[#This Row],[takes]],0)</f>
        <v>1</v>
      </c>
      <c r="G3">
        <v>1</v>
      </c>
      <c r="H3">
        <f>R3+R24+R45+R66+R87+R108</f>
        <v>2</v>
      </c>
      <c r="I3" s="18">
        <f>S3+S24+S45+S66+S87+S108</f>
        <v>92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3">
        <f>COUNTIF(Scenario0[winner1-ability1],ShadowAbilities1Scenario0[[#This Row],[ability]])+COUNTIF(Scenario0[winner2-ability1],ShadowAbilities1Scenario0[[#This Row],[ability]])</f>
        <v>0</v>
      </c>
      <c r="N3" s="3">
        <f>IF(SUM(ShadowAbilities1Scenario0[[#This Row],[takes]]) &gt; 0,ShadowAbilities1Scenario0[[#This Row],[takes]]/SUM(ShadowAbilities1Scenario0[takes]),0)</f>
        <v>0</v>
      </c>
      <c r="O3" s="3">
        <f>IF(ShadowAbilities1Scenario0[[#This Row],[takes]]&gt;0,ShadowAbilities1Scenario0[[#This Row],[wins]]/ShadowAbilities1Scenario0[[#This Row],[takes]],0)</f>
        <v>0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3" t="s">
        <v>202</v>
      </c>
      <c r="V3" s="16">
        <f>H5/SUM(ShadowEquip[bow])</f>
        <v>0.87857142857142856</v>
      </c>
    </row>
    <row r="4" spans="1:22" x14ac:dyDescent="0.25">
      <c r="A4" t="s">
        <v>86</v>
      </c>
      <c r="B4">
        <f t="shared" ref="B4:B5" si="0">L4+L25+L46+L67+L88+L109</f>
        <v>72</v>
      </c>
      <c r="C4">
        <f t="shared" ref="C4:C5" si="1">M4+M25+M46+M67+M88+M109</f>
        <v>23</v>
      </c>
      <c r="D4" s="3">
        <f>IF(SUM(ShadowAbilities1[[#This Row],[takes]]) &gt; 0,ShadowAbilities1[[#This Row],[takes]]/SUM(ShadowAbilities1[takes]),0)</f>
        <v>0.51428571428571423</v>
      </c>
      <c r="E4" s="3">
        <f>IF(ShadowAbilities1[[#This Row],[takes]]&gt;0,ShadowAbilities1[[#This Row],[wins]]/ShadowAbilities1[[#This Row],[takes]],0)</f>
        <v>0.31944444444444442</v>
      </c>
      <c r="G4">
        <v>2</v>
      </c>
      <c r="H4">
        <f t="shared" ref="H4:H5" si="2">R4+R25+R46+R67+R88+R109</f>
        <v>15</v>
      </c>
      <c r="I4" s="18">
        <f t="shared" ref="I4:I5" si="3">S4+S25+S46+S67+S88+S109</f>
        <v>23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4">
        <f>COUNTIF(Scenario0[winner1-ability1],ShadowAbilities1Scenario0[[#This Row],[ability]])+COUNTIF(Scenario0[winner2-ability1],ShadowAbilities1Scenario0[[#This Row],[ability]])</f>
        <v>0</v>
      </c>
      <c r="N4" s="3">
        <f>IF(SUM(ShadowAbilities1Scenario0[[#This Row],[takes]]) &gt; 0,ShadowAbilities1Scenario0[[#This Row],[takes]]/SUM(ShadowAbilities1Scenario0[takes]),0)</f>
        <v>0</v>
      </c>
      <c r="O4" s="3">
        <f>IF(ShadowAbilities1Scenario0[[#This Row],[takes]]&gt;0,ShadowAbilities1Scenario0[[#This Row],[wins]]/ShadowAbilities1Scenario0[[#This Row],[takes]],0)</f>
        <v>0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4" t="s">
        <v>179</v>
      </c>
      <c r="V4" s="3">
        <f>ShadowEquip[[#This Row],[chestpiece]]/SUM(ShadowEquip[chestpiece])</f>
        <v>0.16428571428571428</v>
      </c>
    </row>
    <row r="5" spans="1:22" x14ac:dyDescent="0.25">
      <c r="A5" t="s">
        <v>140</v>
      </c>
      <c r="B5">
        <f t="shared" si="0"/>
        <v>65</v>
      </c>
      <c r="C5">
        <f t="shared" si="1"/>
        <v>31</v>
      </c>
      <c r="D5" s="3">
        <f>IF(SUM(ShadowAbilities1[[#This Row],[takes]]) &gt; 0,ShadowAbilities1[[#This Row],[takes]]/SUM(ShadowAbilities1[takes]),0)</f>
        <v>0.4642857142857143</v>
      </c>
      <c r="E5" s="3">
        <f>IF(ShadowAbilities1[[#This Row],[takes]]&gt;0,ShadowAbilities1[[#This Row],[wins]]/ShadowAbilities1[[#This Row],[takes]],0)</f>
        <v>0.47692307692307695</v>
      </c>
      <c r="G5">
        <v>3</v>
      </c>
      <c r="H5">
        <f t="shared" si="2"/>
        <v>123</v>
      </c>
      <c r="I5" s="18">
        <f t="shared" si="3"/>
        <v>25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5">
        <f>COUNTIF(Scenario0[winner1-ability1],ShadowAbilities1Scenario0[[#This Row],[ability]])+COUNTIF(Scenario0[winner2-ability1],ShadowAbilities1Scenario0[[#This Row],[ability]])</f>
        <v>0</v>
      </c>
      <c r="N5" s="3">
        <f>IF(SUM(ShadowAbilities1Scenario0[[#This Row],[takes]]) &gt; 0,ShadowAbilities1Scenario0[[#This Row],[takes]]/SUM(ShadowAbilities1Scenario0[takes]),0)</f>
        <v>0</v>
      </c>
      <c r="O5" s="3">
        <f>IF(ShadowAbilities1Scenario0[[#This Row],[takes]]&gt;0,ShadowAbilities1Scenario0[[#This Row],[wins]]/ShadowAbilities1Scenario0[[#This Row],[takes]],0)</f>
        <v>0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5" t="s">
        <v>180</v>
      </c>
      <c r="V5" s="16">
        <f>ShadowEquip[[#This Row],[chestpiece]]/SUM(ShadowEquip[chestpiece])</f>
        <v>0.17857142857142858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0.66428571428571426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0.47142857142857142</v>
      </c>
    </row>
    <row r="8" spans="1:22" x14ac:dyDescent="0.25">
      <c r="A8" s="2" t="s">
        <v>141</v>
      </c>
      <c r="B8" s="2">
        <f>L8+L29+L50+L71+L92+L113</f>
        <v>49</v>
      </c>
      <c r="C8" s="2">
        <f>M8+M29+M50+M71+M92+M113</f>
        <v>19</v>
      </c>
      <c r="D8" s="12">
        <f>IF(SUM(ShadowAbilities2[[#This Row],[takes]]) &gt; 0,ShadowAbilities2[[#This Row],[takes]]/SUM(ShadowAbilities2[takes]),0)</f>
        <v>0.5268817204301075</v>
      </c>
      <c r="E8" s="12">
        <f>IF(ShadowAbilities2[[#This Row],[takes]]&gt;0,ShadowAbilities2[[#This Row],[wins]]/ShadowAbilities2[[#This Row],[takes]],0)</f>
        <v>0.38775510204081631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8" s="2">
        <f>COUNTIF(Scenario0[winner1-ability2],ShadowAbilities2Scenario0[[#This Row],[ability]])+COUNTIF(Scenario0[winner2-ability2],ShadowAbilities2Scenario0[[#This Row],[ability]])</f>
        <v>0</v>
      </c>
      <c r="N8" s="12">
        <f>IF(SUM(ShadowAbilities2Scenario0[[#This Row],[takes]]) &gt; 0,ShadowAbilities2Scenario0[[#This Row],[takes]]/SUM(ShadowAbilities2Scenario0[takes]),0)</f>
        <v>0</v>
      </c>
      <c r="O8" s="12">
        <f>IF(ShadowAbilities2Scenario0[[#This Row],[takes]]&gt;0,ShadowAbilities2Scenario0[[#This Row],[wins]]/ShadowAbilities2Scenario0[[#This Row],[takes]],0)</f>
        <v>0</v>
      </c>
      <c r="S8" s="18"/>
      <c r="U8" t="s">
        <v>178</v>
      </c>
      <c r="V8" s="16">
        <f>SUM(ShadowAbilities4[takes])/SUM(ShadowAbilities1[takes])</f>
        <v>0.31428571428571428</v>
      </c>
    </row>
    <row r="9" spans="1:22" x14ac:dyDescent="0.25">
      <c r="A9" t="s">
        <v>92</v>
      </c>
      <c r="B9" s="2">
        <f t="shared" ref="B9:B10" si="4">L9+L30+L51+L72+L93+L114</f>
        <v>20</v>
      </c>
      <c r="C9" s="2">
        <f t="shared" ref="C9:C10" si="5">M9+M30+M51+M72+M93+M114</f>
        <v>15</v>
      </c>
      <c r="D9" s="3">
        <f>IF(SUM(ShadowAbilities2[[#This Row],[takes]]) &gt; 0,ShadowAbilities2[[#This Row],[takes]]/SUM(ShadowAbilities2[takes]),0)</f>
        <v>0.21505376344086022</v>
      </c>
      <c r="E9" s="3">
        <f>IF(ShadowAbilities2[[#This Row],[takes]]&gt;0,ShadowAbilities2[[#This Row],[wins]]/ShadowAbilities2[[#This Row],[takes]],0)</f>
        <v>0.75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9" s="2">
        <f>COUNTIF(Scenario0[winner1-ability2],ShadowAbilities2Scenario0[[#This Row],[ability]])+COUNTIF(Scenario0[winner2-ability2],ShadowAbilities2Scenario0[[#This Row],[ability]])</f>
        <v>0</v>
      </c>
      <c r="N9" s="3">
        <f>IF(SUM(ShadowAbilities2Scenario0[[#This Row],[takes]]) &gt; 0,ShadowAbilities2Scenario0[[#This Row],[takes]]/SUM(ShadowAbilities2Scenario0[takes]),0)</f>
        <v>0</v>
      </c>
      <c r="O9" s="3">
        <f>IF(ShadowAbilities2Scenario0[[#This Row],[takes]]&gt;0,ShadowAbilities2Scenario0[[#This Row],[wins]]/ShadowAbilities2Scenario0[[#This Row],[takes]],0)</f>
        <v>0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2.7785714285714285</v>
      </c>
    </row>
    <row r="10" spans="1:22" x14ac:dyDescent="0.25">
      <c r="A10" s="10" t="s">
        <v>76</v>
      </c>
      <c r="B10" s="2">
        <f t="shared" si="4"/>
        <v>24</v>
      </c>
      <c r="C10" s="2">
        <f t="shared" si="5"/>
        <v>10</v>
      </c>
      <c r="D10" s="13">
        <f>IF(SUM(ShadowAbilities2[[#This Row],[takes]]) &gt; 0,ShadowAbilities2[[#This Row],[takes]]/SUM(ShadowAbilities2[takes]),0)</f>
        <v>0.25806451612903225</v>
      </c>
      <c r="E10" s="13">
        <f>IF(ShadowAbilities2[[#This Row],[takes]]&gt;0,ShadowAbilities2[[#This Row],[wins]]/ShadowAbilities2[[#This Row],[takes]],0)</f>
        <v>0.41666666666666669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10" s="2">
        <f>COUNTIF(Scenario0[winner1-ability2],ShadowAbilities2Scenario0[[#This Row],[ability]])+COUNTIF(Scenario0[winner2-ability2],ShadowAbilities2Scenario0[[#This Row],[ability]])</f>
        <v>0</v>
      </c>
      <c r="N10" s="13">
        <f>IF(SUM(ShadowAbilities2Scenario0[[#This Row],[takes]]) &gt; 0,ShadowAbilities2Scenario0[[#This Row],[takes]]/SUM(ShadowAbilities2Scenario0[takes]),0)</f>
        <v>0</v>
      </c>
      <c r="O10" s="13">
        <f>IF(ShadowAbilities2Scenario0[[#This Row],[takes]]&gt;0,ShadowAbilities2Scenario0[[#This Row],[wins]]/ShadowAbilities2Scenario0[[#This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18</v>
      </c>
      <c r="C13" s="1">
        <f>M13+M34+M55+M76+M97+M118</f>
        <v>6</v>
      </c>
      <c r="D13" s="14">
        <f>IF(SUM(ShadowAbilities3[[#This Row],[takes]]) &gt; 0,ShadowAbilities3[[#This Row],[takes]]/SUM(ShadowAbilities3[takes]),0)</f>
        <v>0.27272727272727271</v>
      </c>
      <c r="E13" s="14">
        <f>IF(ShadowAbilities3[[#This Row],[takes]]&gt;0,ShadowAbilities3[[#This Row],[wins]]/ShadowAbilities3[[#This Row],[takes]],0)</f>
        <v>0.33333333333333331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16</v>
      </c>
      <c r="C14" s="2">
        <f t="shared" ref="C14:C15" si="7">M14+M35+M56+M77+M98+M119</f>
        <v>6</v>
      </c>
      <c r="D14" s="12">
        <f>IF(SUM(ShadowAbilities3[[#This Row],[takes]]) &gt; 0,ShadowAbilities3[[#This Row],[takes]]/SUM(ShadowAbilities3[takes]),0)</f>
        <v>0.24242424242424243</v>
      </c>
      <c r="E14" s="12">
        <f>IF(ShadowAbilities3[[#This Row],[takes]]&gt;0,ShadowAbilities3[[#This Row],[wins]]/ShadowAbilities3[[#This Row],[takes]],0)</f>
        <v>0.375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32</v>
      </c>
      <c r="C15" s="1">
        <f t="shared" si="7"/>
        <v>14</v>
      </c>
      <c r="D15" s="15">
        <f>IF(SUM(ShadowAbilities3[[#This Row],[takes]]) &gt; 0,ShadowAbilities3[[#This Row],[takes]]/SUM(ShadowAbilities3[takes]),0)</f>
        <v>0.48484848484848486</v>
      </c>
      <c r="E15" s="15">
        <f>IF(ShadowAbilities3[[#This Row],[takes]]&gt;0,ShadowAbilities3[[#This Row],[wins]]/ShadowAbilities3[[#This Row],[takes]],0)</f>
        <v>0.4375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25</v>
      </c>
      <c r="C18" s="2">
        <f>M18+M39+M60+M81+M102+M123</f>
        <v>5</v>
      </c>
      <c r="D18" s="12">
        <f>IF(SUM(ShadowAbilities4[[#This Row],[takes]]) &gt; 0,ShadowAbilities4[[#This Row],[takes]]/SUM(ShadowAbilities4[takes]),0)</f>
        <v>0.56818181818181823</v>
      </c>
      <c r="E18" s="12">
        <f>IF(ShadowAbilities4[[#This Row],[takes]]&gt;0,ShadowAbilities4[[#This Row],[wins]]/ShadowAbilities4[[#This Row],[takes]],0)</f>
        <v>0.2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9</v>
      </c>
      <c r="C19" s="2">
        <f t="shared" ref="C19:C20" si="9">M19+M40+M61+M82+M103+M124</f>
        <v>4</v>
      </c>
      <c r="D19" s="12">
        <f>IF(SUM(ShadowAbilities4[[#This Row],[takes]]) &gt; 0,ShadowAbilities4[[#This Row],[takes]]/SUM(ShadowAbilities4[takes]),0)</f>
        <v>0.20454545454545456</v>
      </c>
      <c r="E19" s="12">
        <f>IF(ShadowAbilities4[[#This Row],[takes]]&gt;0,ShadowAbilities4[[#This Row],[wins]]/ShadowAbilities4[[#This Row],[takes]],0)</f>
        <v>0.44444444444444442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10</v>
      </c>
      <c r="C20" s="2">
        <f t="shared" si="9"/>
        <v>5</v>
      </c>
      <c r="D20" s="26">
        <f>IF(SUM(ShadowAbilities4[[#This Row],[takes]]) &gt; 0,ShadowAbilities4[[#This Row],[takes]]/SUM(ShadowAbilities4[takes]),0)</f>
        <v>0.22727272727272727</v>
      </c>
      <c r="E20" s="26">
        <f>IF(ShadowAbilities4[[#This Row],[takes]]&gt;0,ShadowAbilities4[[#This Row],[wins]]/ShadowAbilities4[[#This Row],[takes]],0)</f>
        <v>0.5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4">
        <f>COUNTIF(Scenario1[winner1-ability1],ShadowAbilities1Scenario1[[#This Row],[ability]])+COUNTIF(Scenario1[winner2-ability1],ShadowAbilities1Scenario1[[#This Row],[ability]])</f>
        <v>0</v>
      </c>
      <c r="N24" s="3">
        <f>IF(SUM(ShadowAbilities1Scenario1[[#This Row],[takes]]) &gt; 0,ShadowAbilities1Scenario1[[#This Row],[takes]]/SUM(ShadowAbilities1Scenario1[takes]),0)</f>
        <v>0</v>
      </c>
      <c r="O24" s="3">
        <f>IF(ShadowAbilities1Scenario1[[#This Row],[takes]]&gt;0,ShadowAbilities1Scenario1[[#This Row],[wins]]/ShadowAbilities1Scenario1[[#This Row],[takes]],0)</f>
        <v>0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5">
        <f>COUNTIF(Scenario1[winner1-ability1],ShadowAbilities1Scenario1[[#This Row],[ability]])+COUNTIF(Scenario1[winner2-ability1],ShadowAbilities1Scenario1[[#This Row],[ability]])</f>
        <v>0</v>
      </c>
      <c r="N25" s="3">
        <f>IF(SUM(ShadowAbilities1Scenario1[[#This Row],[takes]]) &gt; 0,ShadowAbilities1Scenario1[[#This Row],[takes]]/SUM(ShadowAbilities1Scenario1[takes]),0)</f>
        <v>0</v>
      </c>
      <c r="O25" s="3">
        <f>IF(ShadowAbilities1Scenario1[[#This Row],[takes]]&gt;0,ShadowAbilities1Scenario1[[#This Row],[wins]]/ShadowAbilities1Scenario1[[#This Row],[takes]],0)</f>
        <v>0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6">
        <f>COUNTIF(Scenario1[winner1-ability1],ShadowAbilities1Scenario1[[#This Row],[ability]])+COUNTIF(Scenario1[winner2-ability1],ShadowAbilities1Scenario1[[#This Row],[ability]])</f>
        <v>0</v>
      </c>
      <c r="N26" s="3">
        <f>IF(SUM(ShadowAbilities1Scenario1[[#This Row],[takes]]) &gt; 0,ShadowAbilities1Scenario1[[#This Row],[takes]]/SUM(ShadowAbilities1Scenario1[takes]),0)</f>
        <v>0</v>
      </c>
      <c r="O26" s="3">
        <f>IF(ShadowAbilities1Scenario1[[#This Row],[takes]]&gt;0,ShadowAbilities1Scenario1[[#This Row],[wins]]/ShadowAbilities1Scenario1[[#This Row],[takes]],0)</f>
        <v>0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29" s="2">
        <f>COUNTIF(Scenario1[winner1-ability2],ShadowAbilities2Scenario1[[#This Row],[ability]])+COUNTIF(Scenario1[winner2-ability2],ShadowAbilities2Scenario1[[#This Row],[ability]])</f>
        <v>0</v>
      </c>
      <c r="N29" s="12">
        <f>IF(SUM(ShadowAbilities2Scenario1[[#This Row],[takes]]) &gt; 0,ShadowAbilities2Scenario1[[#This Row],[takes]]/SUM(ShadowAbilities2Scenario1[takes]),0)</f>
        <v>0</v>
      </c>
      <c r="O29" s="12">
        <f>IF(ShadowAbilities2Scenario1[[#This Row],[takes]]&gt;0,ShadowAbilities2Scenario1[[#This Row],[wins]]/ShadowAbilities2Scenario1[[#This Row],[takes]],0)</f>
        <v>0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0" s="2">
        <f>COUNTIF(Scenario1[winner1-ability2],ShadowAbilities2Scenario1[[#This Row],[ability]])+COUNTIF(Scenario1[winner2-ability2],ShadowAbilities2Scenario1[[#This Row],[ability]])</f>
        <v>0</v>
      </c>
      <c r="N30" s="3">
        <f>IF(SUM(ShadowAbilities2Scenario1[[#This Row],[takes]]) &gt; 0,ShadowAbilities2Scenario1[[#This Row],[takes]]/SUM(ShadowAbilities2Scenario1[takes]),0)</f>
        <v>0</v>
      </c>
      <c r="O30" s="3">
        <f>IF(ShadowAbilities2Scenario1[[#This Row],[takes]]&gt;0,ShadowAbilities2Scenario1[[#This Row],[wins]]/ShadowAbilities2Scenario1[[#This Row],[takes]],0)</f>
        <v>0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1" s="2">
        <f>COUNTIF(Scenario1[winner1-ability2],ShadowAbilities2Scenario1[[#This Row],[ability]])+COUNTIF(Scenario1[winner2-ability2],ShadowAbilities2Scenario1[[#This Row],[ability]])</f>
        <v>0</v>
      </c>
      <c r="N31" s="13">
        <f>IF(SUM(ShadowAbilities2Scenario1[[#This Row],[takes]]) &gt; 0,ShadowAbilities2Scenario1[[#This Row],[takes]]/SUM(ShadowAbilities2Scenario1[takes]),0)</f>
        <v>0</v>
      </c>
      <c r="O31" s="13">
        <f>IF(ShadowAbilities2Scenario1[[#This Row],[takes]]&gt;0,ShadowAbilities2Scenario1[[#This Row],[wins]]/ShadowAbilities2Scenario1[[#This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4">
        <f>IF(SUM(ShadowAbilities3Scenario1[[#This Row],[takes]]) &gt; 0,ShadowAbilities3Scenario1[[#This Row],[takes]]/SUM(ShadowAbilities3Scenario1[takes]),0)</f>
        <v>0</v>
      </c>
      <c r="O34" s="14">
        <f>IF(ShadowAbilities3Scenario1[[#This Row],[takes]]&gt;0,ShadowAbilities3Scenario1[[#This Row],[wins]]/ShadowAbilities3Scenario1[[#This Row],[takes]],0)</f>
        <v>0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6" s="1">
        <f>COUNTIF(Scenario1[winner1-ability3],ShadowAbilities3Scenario1[[#This Row],[ability]])+COUNTIF(Scenario1[winner2-ability3],ShadowAbilities3Scenario1[[#This Row],[ability]])</f>
        <v>0</v>
      </c>
      <c r="N36" s="15">
        <f>IF(SUM(ShadowAbilities3Scenario1[[#This Row],[takes]]) &gt; 0,ShadowAbilities3Scenario1[[#This Row],[takes]]/SUM(ShadowAbilities3Scenario1[takes]),0)</f>
        <v>0</v>
      </c>
      <c r="O36" s="15">
        <f>IF(ShadowAbilities3Scenario1[[#This Row],[takes]]&gt;0,ShadowAbilities3Scenario1[[#This Row],[wins]]/ShadowAbilities3Scenario1[[#This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12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6</v>
      </c>
      <c r="M46">
        <f>COUNTIF(Scenario2[winner1-ability1],ShadowAbilities1Scenario2[[#This Row],[ability]])</f>
        <v>0</v>
      </c>
      <c r="N46" s="3">
        <f>IF(SUM(ShadowAbilities1Scenario2[[#This Row],[takes]]) &gt; 0,ShadowAbilities1Scenario2[[#This Row],[takes]]/SUM(ShadowAbilities1Scenario2[takes]),0)</f>
        <v>0.42857142857142855</v>
      </c>
      <c r="O46" s="3">
        <f>IF(ShadowAbilities1Scenario2[[#This Row],[takes]]&gt;0,ShadowAbilities1Scenario2[[#This Row],[wins]]/ShadowAbilities1Scenario2[[#This Row],[takes]],0)</f>
        <v>0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0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8</v>
      </c>
      <c r="M47">
        <f>COUNTIF(Scenario2[winner1-ability1],ShadowAbilities1Scenario2[[#This Row],[ability]])</f>
        <v>5</v>
      </c>
      <c r="N47" s="3">
        <f>IF(SUM(ShadowAbilities1Scenario2[[#This Row],[takes]]) &gt; 0,ShadowAbilities1Scenario2[[#This Row],[takes]]/SUM(ShadowAbilities1Scenario2[takes]),0)</f>
        <v>0.5714285714285714</v>
      </c>
      <c r="O47" s="3">
        <f>IF(ShadowAbilities1Scenario2[[#This Row],[takes]]&gt;0,ShadowAbilities1Scenario2[[#This Row],[wins]]/ShadowAbilities1Scenario2[[#This Row],[takes]],0)</f>
        <v>0.625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14</v>
      </c>
      <c r="S47" s="18">
        <f>COUNTIFS(Scenario2[winner1],"shadow",Scenario2[winner1-cp],ShadowEquipScenario2[[#This Row],[level]])+COUNTIFS(Scenario2[loser1],"shadow",Scenario2[loser1-cp],ShadowEquipScenario2[[#This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5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0.5</v>
      </c>
      <c r="O50" s="12">
        <f>IF(ShadowAbilities2Scenario2[[#This Row],[takes]]&gt;0,ShadowAbilities2Scenario2[[#This Row],[wins]]/ShadowAbilities2Scenario2[[#This Row],[takes]],0)</f>
        <v>0.2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2</v>
      </c>
      <c r="M51" s="2">
        <f>COUNTIF(Scenario2[winner1-ability2],ShadowAbilities2Scenario2[[#This Row],[ability]])</f>
        <v>2</v>
      </c>
      <c r="N51" s="3">
        <f>IF(SUM(ShadowAbilities2Scenario2[[#This Row],[takes]]) &gt; 0,ShadowAbilities2Scenario2[[#This Row],[takes]]/SUM(ShadowAbilities2Scenario2[takes]),0)</f>
        <v>0.2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3</v>
      </c>
      <c r="M52" s="2">
        <f>COUNTIF(Scenario2[winner1-ability2],ShadowAbilities2Scenario2[[#This Row],[ability]])</f>
        <v>1</v>
      </c>
      <c r="N52" s="13">
        <f>IF(SUM(ShadowAbilities2Scenario2[[#This Row],[takes]]) &gt; 0,ShadowAbilities2Scenario2[[#This Row],[takes]]/SUM(ShadowAbilities2Scenario2[takes]),0)</f>
        <v>0.3</v>
      </c>
      <c r="O52" s="13">
        <f>IF(ShadowAbilities2Scenario2[[#This Row],[takes]]&gt;0,ShadowAbilities2Scenario2[[#This Row],[wins]]/ShadowAbilities2Scenario2[[#This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0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5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3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1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0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8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20</v>
      </c>
      <c r="M67">
        <f>COUNTIF(Scenario3[winner1-ability1],ShadowAbilities1Scenario3[[#This Row],[ability]])</f>
        <v>4</v>
      </c>
      <c r="N67" s="3">
        <f>IF(SUM(ShadowAbilities1Scenario3[[#This Row],[takes]]) &gt; 0,ShadowAbilities1Scenario3[[#This Row],[takes]]/SUM(ShadowAbilities1Scenario3[takes]),0)</f>
        <v>0.95238095238095233</v>
      </c>
      <c r="O67" s="3">
        <f>IF(ShadowAbilities1Scenario3[[#This Row],[takes]]&gt;0,ShadowAbilities1Scenario3[[#This Row],[wins]]/ShadowAbilities1Scenario3[[#This Row],[takes]],0)</f>
        <v>0.2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4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4.7619047619047616E-2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21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9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13</v>
      </c>
      <c r="M71" s="2">
        <f>COUNTIF(Scenario3[winner1-ability2],ShadowAbilities2Scenario3[[#This Row],[ability]])</f>
        <v>3</v>
      </c>
      <c r="N71" s="12">
        <f>IF(SUM(ShadowAbilities2Scenario3[[#This Row],[takes]]) &gt; 0,ShadowAbilities2Scenario3[[#This Row],[takes]]/SUM(ShadowAbilities2Scenario3[takes]),0)</f>
        <v>0.65</v>
      </c>
      <c r="O71" s="12">
        <f>IF(ShadowAbilities2Scenario3[[#This Row],[takes]]&gt;0,ShadowAbilities2Scenario3[[#This Row],[wins]]/ShadowAbilities2Scenario3[[#This Row],[takes]],0)</f>
        <v>0.23076923076923078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5</v>
      </c>
      <c r="M72" s="2">
        <f>COUNTIF(Scenario3[winner1-ability2],ShadowAbilities2Scenario3[[#This Row],[ability]])</f>
        <v>1</v>
      </c>
      <c r="N72" s="3">
        <f>IF(SUM(ShadowAbilities2Scenario3[[#This Row],[takes]]) &gt; 0,ShadowAbilities2Scenario3[[#This Row],[takes]]/SUM(ShadowAbilities2Scenario3[takes]),0)</f>
        <v>0.25</v>
      </c>
      <c r="O72" s="3">
        <f>IF(ShadowAbilities2Scenario3[[#This Row],[takes]]&gt;0,ShadowAbilities2Scenario3[[#This Row],[wins]]/ShadowAbilities2Scenario3[[#This Row],[takes]],0)</f>
        <v>0.2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2</v>
      </c>
      <c r="M73" s="2">
        <f>COUNTIF(Scenario3[winner1-ability2],ShadowAbilities2Scenario3[[#This Row],[ability]])</f>
        <v>0</v>
      </c>
      <c r="N73" s="13">
        <f>IF(SUM(ShadowAbilities2Scenario3[[#This Row],[takes]]) &gt; 0,ShadowAbilities2Scenario3[[#This Row],[takes]]/SUM(ShadowAbilities2Scenario3[takes]),0)</f>
        <v>0.1</v>
      </c>
      <c r="O73" s="13">
        <f>IF(ShadowAbilities2Scenario3[[#This Row],[takes]]&gt;0,ShadowAbilities2Scenario3[[#This Row],[wins]]/ShadowAbilities2Scenario3[[#This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3</v>
      </c>
      <c r="M76" s="1">
        <f>COUNTIF(Scenario3[winner1-ability3],ShadowAbilities3Scenario3[[#This Row],[ability]])</f>
        <v>1</v>
      </c>
      <c r="N76" s="14">
        <f>IF(SUM(ShadowAbilities3Scenario3[[#This Row],[takes]]) &gt; 0,ShadowAbilities3Scenario3[[#This Row],[takes]]/SUM(ShadowAbilities3Scenario3[takes]),0)</f>
        <v>0.17647058823529413</v>
      </c>
      <c r="O76" s="14">
        <f>IF(ShadowAbilities3Scenario3[[#This Row],[takes]]&gt;0,ShadowAbilities3Scenario3[[#This Row],[wins]]/ShadowAbilities3Scenario3[[#This Row],[takes]],0)</f>
        <v>0.33333333333333331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10</v>
      </c>
      <c r="M77" s="2">
        <f>COUNTIF(Scenario3[winner1-ability3],ShadowAbilities3Scenario3[[#This Row],[ability]])</f>
        <v>2</v>
      </c>
      <c r="N77" s="12">
        <f>IF(SUM(ShadowAbilities3Scenario3[[#This Row],[takes]]) &gt; 0,ShadowAbilities3Scenario3[[#This Row],[takes]]/SUM(ShadowAbilities3Scenario3[takes]),0)</f>
        <v>0.58823529411764708</v>
      </c>
      <c r="O77" s="12">
        <f>IF(ShadowAbilities3Scenario3[[#This Row],[takes]]&gt;0,ShadowAbilities3Scenario3[[#This Row],[wins]]/ShadowAbilities3Scenario3[[#This Row],[takes]],0)</f>
        <v>0.2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4</v>
      </c>
      <c r="M78" s="1">
        <f>COUNTIF(Scenario3[winner1-ability3],ShadowAbilities3Scenario3[[#This Row],[ability]])</f>
        <v>1</v>
      </c>
      <c r="N78" s="15">
        <f>IF(SUM(ShadowAbilities3Scenario3[[#This Row],[takes]]) &gt; 0,ShadowAbilities3Scenario3[[#This Row],[takes]]/SUM(ShadowAbilities3Scenario3[takes]),0)</f>
        <v>0.23529411764705882</v>
      </c>
      <c r="O78" s="15">
        <f>IF(ShadowAbilities3Scenario3[[#This Row],[takes]]&gt;0,ShadowAbilities3Scenario3[[#This Row],[wins]]/ShadowAbilities3Scenario3[[#This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7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0.5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2" s="2">
        <f>COUNTIF(Scenario3[winner1-ability4],ShadowAbilities4Scenario3[[#This Row],[ability]])</f>
        <v>2</v>
      </c>
      <c r="N82" s="12">
        <f>IF(SUM(ShadowAbilities4Scenario3[[#This Row],[takes]]) &gt; 0,ShadowAbilities4Scenario3[[#This Row],[takes]]/SUM(ShadowAbilities4Scenario3[takes]),0)</f>
        <v>0.35714285714285715</v>
      </c>
      <c r="O82" s="12">
        <f>IF(ShadowAbilities4Scenario3[[#This Row],[takes]]&gt;0,ShadowAbilities4Scenario3[[#This Row],[wins]]/ShadowAbilities4Scenario3[[#This Row],[takes]],0)</f>
        <v>0.4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2</v>
      </c>
      <c r="M83" s="2">
        <f>COUNTIF(Scenario3[winner1-ability4],ShadowAbilities4Scenario3[[#This Row],[ability]])</f>
        <v>1</v>
      </c>
      <c r="N83" s="26">
        <f>IF(SUM(ShadowAbilities4Scenario3[[#This Row],[takes]]) &gt; 0,ShadowAbilities4Scenario3[[#This Row],[takes]]/SUM(ShadowAbilities4Scenario3[takes]),0)</f>
        <v>0.14285714285714285</v>
      </c>
      <c r="O83" s="26">
        <f>IF(ShadowAbilities4Scenario3[[#This Row],[takes]]&gt;0,ShadowAbilities4Scenario3[[#This Row],[wins]]/ShadowAbilities4Scenario3[[#This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8">
        <f>COUNTIF(Scenario4[winner1-ability1],ShadowAbilities1Scenario4[[#This Row],[ability]])</f>
        <v>0</v>
      </c>
      <c r="N88" s="3">
        <f>IF(SUM(ShadowAbilities1Scenario4[[#This Row],[takes]]) &gt; 0,ShadowAbilities1Scenario4[[#This Row],[takes]]/SUM(ShadowAbilities1Scenario4[takes]),0)</f>
        <v>0</v>
      </c>
      <c r="O88" s="3">
        <f>IF(ShadowAbilities1Scenario4[[#This Row],[takes]]&gt;0,ShadowAbilities1Scenario4[[#This Row],[wins]]/ShadowAbilities1Scenario4[[#This Row],[takes]],0)</f>
        <v>0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2" s="2">
        <f>COUNTIF(Scenario4[winner1-ability2],ShadowAbilities2Scenario4[[#This Row],[ability]])</f>
        <v>0</v>
      </c>
      <c r="N92" s="12">
        <f>IF(SUM(ShadowAbilities2Scenario4[[#This Row],[takes]]) &gt; 0,ShadowAbilities2Scenario4[[#This Row],[takes]]/SUM(ShadowAbilities2Scenario4[takes]),0)</f>
        <v>0</v>
      </c>
      <c r="O92" s="12">
        <f>IF(ShadowAbilities2Scenario4[[#This Row],[takes]]&gt;0,ShadowAbilities2Scenario4[[#This Row],[wins]]/ShadowAbilities2Scenario4[[#This Row],[takes]],0)</f>
        <v>0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4" s="2">
        <f>COUNTIF(Scenario4[winner1-ability2],ShadowAbilities2Scenario4[[#This Row],[ability]])</f>
        <v>0</v>
      </c>
      <c r="N94" s="13">
        <f>IF(SUM(ShadowAbilities2Scenario4[[#This Row],[takes]]) &gt; 0,ShadowAbilities2Scenario4[[#This Row],[takes]]/SUM(ShadowAbilities2Scenario4[takes]),0)</f>
        <v>0</v>
      </c>
      <c r="O94" s="13">
        <f>IF(ShadowAbilities2Scenario4[[#This Row],[takes]]&gt;0,ShadowAbilities2Scenario4[[#This Row],[wins]]/ShadowAbilities2Scenario4[[#This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7" s="1">
        <f>COUNTIF(Scenario4[winner1-ability3],ShadowAbilities3Scenario4[[#This Row],[ability]])</f>
        <v>0</v>
      </c>
      <c r="N97" s="14">
        <f>IF(SUM(ShadowAbilities3Scenario4[[#This Row],[takes]]) &gt; 0,ShadowAbilities3Scenario4[[#This Row],[takes]]/SUM(ShadowAbilities3Scenario4[takes]),0)</f>
        <v>0</v>
      </c>
      <c r="O97" s="14">
        <f>IF(ShadowAbilities3Scenario4[[#This Row],[takes]]&gt;0,ShadowAbilities3Scenario4[[#This Row],[wins]]/ShadowAbilities3Scenario4[[#This Row],[takes]],0)</f>
        <v>0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8" s="2">
        <f>COUNTIF(Scenario4[winner1-ability3],ShadowAbilities3Scenario4[[#This Row],[ability]])</f>
        <v>0</v>
      </c>
      <c r="N98" s="12">
        <f>IF(SUM(ShadowAbilities3Scenario4[[#This Row],[takes]]) &gt; 0,ShadowAbilities3Scenario4[[#This Row],[takes]]/SUM(ShadowAbilities3Scenario4[takes]),0)</f>
        <v>0</v>
      </c>
      <c r="O98" s="12">
        <f>IF(ShadowAbilities3Scenario4[[#This Row],[takes]]&gt;0,ShadowAbilities3Scenario4[[#This Row],[wins]]/ShadowAbilities3Scenario4[[#This Row],[takes]],0)</f>
        <v>0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0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2" s="2">
        <f>COUNTIF(Scenario4[winner1-ability4],ShadowAbilities4Scenario4[[#This Row],[ability]])</f>
        <v>0</v>
      </c>
      <c r="N102" s="12">
        <f>IF(SUM(ShadowAbilities4Scenario4[[#This Row],[takes]]) &gt; 0,ShadowAbilities4Scenario4[[#This Row],[takes]]/SUM(ShadowAbilities4Scenario4[takes]),0)</f>
        <v>0</v>
      </c>
      <c r="O102" s="12">
        <f>IF(ShadowAbilities4Scenario4[[#This Row],[takes]]&gt;0,ShadowAbilities4Scenario4[[#This Row],[wins]]/ShadowAbilities4Scenario4[[#This Row],[takes]],0)</f>
        <v>0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3" s="2">
        <f>COUNTIF(Scenario4[winner1-ability4],ShadowAbilities4Scenario4[[#This Row],[ability]])</f>
        <v>0</v>
      </c>
      <c r="N103" s="12">
        <f>IF(SUM(ShadowAbilities4Scenario4[[#This Row],[takes]]) &gt; 0,ShadowAbilities4Scenario4[[#This Row],[takes]]/SUM(ShadowAbilities4Scenario4[takes]),0)</f>
        <v>0</v>
      </c>
      <c r="O103" s="12">
        <f>IF(ShadowAbilities4Scenario4[[#This Row],[takes]]&gt;0,ShadowAbilities4Scenario4[[#This Row],[wins]]/ShadowAbilities4Scenario4[[#This Row],[takes]],0)</f>
        <v>0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4" s="2">
        <f>COUNTIF(Scenario4[winner1-ability4],ShadowAbilities4Scenario4[[#This Row],[ability]])</f>
        <v>0</v>
      </c>
      <c r="N104" s="26">
        <f>IF(SUM(ShadowAbilities4Scenario4[[#This Row],[takes]]) &gt; 0,ShadowAbilities4Scenario4[[#This Row],[takes]]/SUM(ShadowAbilities4Scenario4[takes]),0)</f>
        <v>0</v>
      </c>
      <c r="O104" s="26">
        <f>IF(ShadowAbilities4Scenario4[[#This Row],[takes]]&gt;0,ShadowAbilities4Scenario4[[#This Row],[wins]]/ShadowAbilities4Scenario4[[#This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3</v>
      </c>
      <c r="M108">
        <f>COUNTIF(Scenario5[winner1-ability1],ShadowAbilities1Scenario5[[#This Row],[ability]])+COUNTIF(Scenario5[winner2-ability1],ShadowAbilities1Scenario5[[#This Row],[ability]])</f>
        <v>3</v>
      </c>
      <c r="N108" s="3">
        <f>IF(SUM(ShadowAbilities1Scenario5[[#This Row],[takes]]) &gt; 0,ShadowAbilities1Scenario5[[#This Row],[takes]]/SUM(ShadowAbilities1Scenario5[takes]),0)</f>
        <v>2.8571428571428571E-2</v>
      </c>
      <c r="O108" s="3">
        <f>IF(ShadowAbilities1Scenario5[[#This Row],[takes]]&gt;0,ShadowAbilities1Scenario5[[#This Row],[wins]]/ShadowAbilities1Scenario5[[#This Row],[takes]],0)</f>
        <v>1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2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72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46</v>
      </c>
      <c r="M109">
        <f>COUNTIF(Scenario5[winner1-ability1],ShadowAbilities1Scenario5[[#This Row],[ability]])+COUNTIF(Scenario5[winner2-ability1],ShadowAbilities1Scenario5[[#This Row],[ability]])</f>
        <v>19</v>
      </c>
      <c r="N109" s="3">
        <f>IF(SUM(ShadowAbilities1Scenario5[[#This Row],[takes]]) &gt; 0,ShadowAbilities1Scenario5[[#This Row],[takes]]/SUM(ShadowAbilities1Scenario5[takes]),0)</f>
        <v>0.43809523809523809</v>
      </c>
      <c r="O109" s="3">
        <f>IF(ShadowAbilities1Scenario5[[#This Row],[takes]]&gt;0,ShadowAbilities1Scenario5[[#This Row],[wins]]/ShadowAbilities1Scenario5[[#This Row],[takes]],0)</f>
        <v>0.41304347826086957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15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19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56</v>
      </c>
      <c r="M110">
        <f>COUNTIF(Scenario5[winner1-ability1],ShadowAbilities1Scenario5[[#This Row],[ability]])+COUNTIF(Scenario5[winner2-ability1],ShadowAbilities1Scenario5[[#This Row],[ability]])</f>
        <v>26</v>
      </c>
      <c r="N110" s="3">
        <f>IF(SUM(ShadowAbilities1Scenario5[[#This Row],[takes]]) &gt; 0,ShadowAbilities1Scenario5[[#This Row],[takes]]/SUM(ShadowAbilities1Scenario5[takes]),0)</f>
        <v>0.53333333333333333</v>
      </c>
      <c r="O110" s="3">
        <f>IF(ShadowAbilities1Scenario5[[#This Row],[takes]]&gt;0,ShadowAbilities1Scenario5[[#This Row],[wins]]/ShadowAbilities1Scenario5[[#This Row],[takes]],0)</f>
        <v>0.4642857142857143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88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31</v>
      </c>
      <c r="M113" s="2">
        <f>COUNTIF(Scenario5[winner1-ability2],ShadowAbilities2Scenario5[[#This Row],[ability]])+COUNTIF(Scenario5[winner2-ability2],ShadowAbilities2Scenario5[[#This Row],[ability]])</f>
        <v>15</v>
      </c>
      <c r="N113" s="12">
        <f>IF(SUM(ShadowAbilities2Scenario5[[#This Row],[takes]]) &gt; 0,ShadowAbilities2Scenario5[[#This Row],[takes]]/SUM(ShadowAbilities2Scenario5[takes]),0)</f>
        <v>0.49206349206349204</v>
      </c>
      <c r="O113" s="12">
        <f>IF(ShadowAbilities2Scenario5[[#This Row],[takes]]&gt;0,ShadowAbilities2Scenario5[[#This Row],[wins]]/ShadowAbilities2Scenario5[[#This Row],[takes]],0)</f>
        <v>0.4838709677419355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13</v>
      </c>
      <c r="M114" s="2">
        <f>COUNTIF(Scenario5[winner1-ability2],ShadowAbilities2Scenario5[[#This Row],[ability]])+COUNTIF(Scenario5[winner2-ability2],ShadowAbilities2Scenario5[[#This Row],[ability]])</f>
        <v>12</v>
      </c>
      <c r="N114" s="3">
        <f>IF(SUM(ShadowAbilities2Scenario5[[#This Row],[takes]]) &gt; 0,ShadowAbilities2Scenario5[[#This Row],[takes]]/SUM(ShadowAbilities2Scenario5[takes]),0)</f>
        <v>0.20634920634920634</v>
      </c>
      <c r="O114" s="3">
        <f>IF(ShadowAbilities2Scenario5[[#This Row],[takes]]&gt;0,ShadowAbilities2Scenario5[[#This Row],[wins]]/ShadowAbilities2Scenario5[[#This Row],[takes]],0)</f>
        <v>0.92307692307692313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19</v>
      </c>
      <c r="M115" s="2">
        <f>COUNTIF(Scenario5[winner1-ability2],ShadowAbilities2Scenario5[[#This Row],[ability]])+COUNTIF(Scenario5[winner2-ability2],ShadowAbilities2Scenario5[[#This Row],[ability]])</f>
        <v>9</v>
      </c>
      <c r="N115" s="13">
        <f>IF(SUM(ShadowAbilities2Scenario5[[#This Row],[takes]]) &gt; 0,ShadowAbilities2Scenario5[[#This Row],[takes]]/SUM(ShadowAbilities2Scenario5[takes]),0)</f>
        <v>0.30158730158730157</v>
      </c>
      <c r="O115" s="13">
        <f>IF(ShadowAbilities2Scenario5[[#This Row],[takes]]&gt;0,ShadowAbilities2Scenario5[[#This Row],[wins]]/ShadowAbilities2Scenario5[[#This Row],[takes]],0)</f>
        <v>0.47368421052631576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15</v>
      </c>
      <c r="M118" s="1">
        <f>COUNTIF(Scenario5[winner1-ability3],ShadowAbilities3Scenario5[[#This Row],[ability]])+COUNTIF(Scenario5[winner2-ability3],ShadowAbilities3Scenario5[[#This Row],[ability]])</f>
        <v>5</v>
      </c>
      <c r="N118" s="14">
        <f>IF(SUM(ShadowAbilities3Scenario5[[#This Row],[takes]]) &gt; 0,ShadowAbilities3Scenario5[[#This Row],[takes]]/SUM(ShadowAbilities3Scenario5[takes]),0)</f>
        <v>0.34090909090909088</v>
      </c>
      <c r="O118" s="14">
        <f>IF(ShadowAbilities3Scenario5[[#This Row],[takes]]&gt;0,ShadowAbilities3Scenario5[[#This Row],[wins]]/ShadowAbilities3Scenario5[[#This Row],[takes]],0)</f>
        <v>0.33333333333333331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6</v>
      </c>
      <c r="M119" s="2">
        <f>COUNTIF(Scenario5[winner1-ability3],ShadowAbilities3Scenario5[[#This Row],[ability]])+COUNTIF(Scenario5[winner2-ability3],ShadowAbilities3Scenario5[[#This Row],[ability]])</f>
        <v>4</v>
      </c>
      <c r="N119" s="12">
        <f>IF(SUM(ShadowAbilities3Scenario5[[#This Row],[takes]]) &gt; 0,ShadowAbilities3Scenario5[[#This Row],[takes]]/SUM(ShadowAbilities3Scenario5[takes]),0)</f>
        <v>0.13636363636363635</v>
      </c>
      <c r="O119" s="12">
        <f>IF(ShadowAbilities3Scenario5[[#This Row],[takes]]&gt;0,ShadowAbilities3Scenario5[[#This Row],[wins]]/ShadowAbilities3Scenario5[[#This Row],[takes]],0)</f>
        <v>0.66666666666666663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23</v>
      </c>
      <c r="M120" s="1">
        <f>COUNTIF(Scenario5[winner1-ability3],ShadowAbilities3Scenario5[[#This Row],[ability]])+COUNTIF(Scenario5[winner2-ability3],ShadowAbilities3Scenario5[[#This Row],[ability]])</f>
        <v>13</v>
      </c>
      <c r="N120" s="15">
        <f>IF(SUM(ShadowAbilities3Scenario5[[#This Row],[takes]]) &gt; 0,ShadowAbilities3Scenario5[[#This Row],[takes]]/SUM(ShadowAbilities3Scenario5[takes]),0)</f>
        <v>0.52272727272727271</v>
      </c>
      <c r="O120" s="15">
        <f>IF(ShadowAbilities3Scenario5[[#This Row],[takes]]&gt;0,ShadowAbilities3Scenario5[[#This Row],[wins]]/ShadowAbilities3Scenario5[[#This Row],[takes]],0)</f>
        <v>0.56521739130434778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15</v>
      </c>
      <c r="M123" s="2">
        <f>COUNTIF(Scenario5[winner1-ability4],ShadowAbilities4Scenario5[[#This Row],[ability]])+COUNTIF(Scenario5[winner2-ability4],ShadowAbilities4Scenario5[[#This Row],[ability]])</f>
        <v>5</v>
      </c>
      <c r="N123" s="12">
        <f>IF(SUM(ShadowAbilities4Scenario5[[#This Row],[takes]]) &gt; 0,ShadowAbilities4Scenario5[[#This Row],[takes]]/SUM(ShadowAbilities4Scenario5[takes]),0)</f>
        <v>0.55555555555555558</v>
      </c>
      <c r="O123" s="12">
        <f>IF(ShadowAbilities4Scenario5[[#This Row],[takes]]&gt;0,ShadowAbilities4Scenario5[[#This Row],[wins]]/ShadowAbilities4Scenario5[[#This Row],[takes]],0)</f>
        <v>0.33333333333333331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4</v>
      </c>
      <c r="M124" s="2">
        <f>COUNTIF(Scenario5[winner1-ability4],ShadowAbilities4Scenario5[[#This Row],[ability]])+COUNTIF(Scenario5[winner2-ability4],ShadowAbilities4Scenario5[[#This Row],[ability]])</f>
        <v>2</v>
      </c>
      <c r="N124" s="12">
        <f>IF(SUM(ShadowAbilities4Scenario5[[#This Row],[takes]]) &gt; 0,ShadowAbilities4Scenario5[[#This Row],[takes]]/SUM(ShadowAbilities4Scenario5[takes]),0)</f>
        <v>0.14814814814814814</v>
      </c>
      <c r="O124" s="12">
        <f>IF(ShadowAbilities4Scenario5[[#This Row],[takes]]&gt;0,ShadowAbilities4Scenario5[[#This Row],[wins]]/ShadowAbilities4Scenario5[[#This Row],[takes]],0)</f>
        <v>0.5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8</v>
      </c>
      <c r="M125" s="2">
        <f>COUNTIF(Scenario5[winner1-ability4],ShadowAbilities4Scenario5[[#This Row],[ability]])+COUNTIF(Scenario5[winner2-ability4],ShadowAbilities4Scenario5[[#This Row],[ability]])</f>
        <v>4</v>
      </c>
      <c r="N125" s="26">
        <f>IF(SUM(ShadowAbilities4Scenario5[[#This Row],[takes]]) &gt; 0,ShadowAbilities4Scenario5[[#This Row],[takes]]/SUM(ShadowAbilities4Scenario5[takes]),0)</f>
        <v>0.29629629629629628</v>
      </c>
      <c r="O125" s="26">
        <f>IF(ShadowAbilities4Scenario5[[#This Row],[takes]]&gt;0,ShadowAbilities4Scenario5[[#This Row],[wins]]/ShadowAbilities4Scenario5[[#This Row],[takes]],0)</f>
        <v>0.5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I16" sqref="I16:M1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8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8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0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" s="3">
        <f>IF(ScenarioTeams0[[#This Row],[battles]],ScenarioTeams0[[#This Row],[wins]]/ScenarioTeams0[[#This Row],[battles]],0)</f>
        <v>0</v>
      </c>
      <c r="O3" s="4" t="s">
        <v>159</v>
      </c>
      <c r="P3" s="30">
        <f>MAX(Scenario0[crystals])</f>
        <v>8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4" s="3">
        <f>IF(ScenarioTeams0[[#This Row],[battles]],ScenarioTeams0[[#This Row],[wins]]/ScenarioTeams0[[#This Row],[battles]],0)</f>
        <v>0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0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5" s="3">
        <f>IF(ScenarioTeams0[[#This Row],[battles]],ScenarioTeams0[[#This Row],[wins]]/ScenarioTeams0[[#This Row],[battles]],0)</f>
        <v>0</v>
      </c>
      <c r="O5" s="4" t="s">
        <v>158</v>
      </c>
      <c r="P5" s="30">
        <f>MIN(Scenario0[turns])</f>
        <v>25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0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6" s="3">
        <f>IF(ScenarioTeams0[[#This Row],[battles]],ScenarioTeams0[[#This Row],[wins]]/ScenarioTeams0[[#This Row],[battles]],0)</f>
        <v>0</v>
      </c>
      <c r="O6" s="5" t="s">
        <v>108</v>
      </c>
      <c r="P6" s="31">
        <f>AVERAGE(Scenario0[turns])</f>
        <v>25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0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7" s="3">
        <f>IF(ScenarioTeams0[[#This Row],[battles]],ScenarioTeams0[[#This Row],[wins]]/ScenarioTeams0[[#This Row],[battles]],0)</f>
        <v>0</v>
      </c>
      <c r="O7" s="5" t="s">
        <v>160</v>
      </c>
      <c r="P7" s="31">
        <f>MAX(Scenario0[turns])</f>
        <v>25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">
        <f>ScenarioStat0[[#This Row],[team-1-win]]+ScenarioStat0[[#This Row],[team-2-win]]</f>
        <v>0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8" s="3">
        <f>IF(ScenarioTeams0[[#This Row],[battles]],ScenarioTeams0[[#This Row],[wins]]/ScenarioTeams0[[#This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">
        <f>ScenarioStat0[[#This Row],[team-1-win]]+ScenarioStat0[[#This Row],[team-2-win]]</f>
        <v>0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9" s="3">
        <f>IF(ScenarioTeams0[[#This Row],[battles]],ScenarioTeams0[[#This Row],[wins]]/ScenarioTeams0[[#This Row],[battles]],0)</f>
        <v>0</v>
      </c>
      <c r="O9" s="4" t="s">
        <v>185</v>
      </c>
      <c r="P9" s="30">
        <f>120000*$P$6/1000/60</f>
        <v>50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0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0" s="3">
        <f>IF(ScenarioTeams0[[#This Row],[battles]],ScenarioTeams0[[#This Row],[wins]]/ScenarioTeams0[[#This Row],[battles]],0)</f>
        <v>0</v>
      </c>
      <c r="O10" s="5" t="s">
        <v>186</v>
      </c>
      <c r="P10" s="31">
        <f>P9*COUNTA(ScenarioStat0[hero-1])/60/24</f>
        <v>7.291666666666667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">
        <f>ScenarioStat0[[#This Row],[team-1-win]]+ScenarioStat0[[#This Row],[team-2-win]]</f>
        <v>0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1" s="3">
        <f>IF(ScenarioTeams0[[#This Row],[battles]],ScenarioTeams0[[#This Row],[wins]]/ScenarioTeams0[[#This Row],[battles]],0)</f>
        <v>0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0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2" s="3">
        <f>IF(ScenarioTeams0[[#This Row],[battles]],ScenarioTeams0[[#This Row],[wins]]/ScenarioTeams0[[#This Row],[battles]],0)</f>
        <v>0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0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3" s="3">
        <f>IF(ScenarioTeams0[[#This Row],[battles]],ScenarioTeams0[[#This Row],[wins]]/ScenarioTeams0[[#This Row],[battles]],0)</f>
        <v>0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0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4" s="3">
        <f>IF(ScenarioTeams0[[#This Row],[battles]],ScenarioTeams0[[#This Row],[wins]]/ScenarioTeams0[[#This Row],[battles]],0)</f>
        <v>0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">
        <f>ScenarioStat0[[#This Row],[team-1-win]]+ScenarioStat0[[#This Row],[team-2-win]]</f>
        <v>0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5" s="3">
        <f>IF(ScenarioTeams0[[#This Row],[battles]],ScenarioTeams0[[#This Row],[wins]]/ScenarioTeams0[[#This Row],[battles]],0)</f>
        <v>0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0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6" s="3">
        <f>IF(ScenarioTeams0[[#This Row],[battles]],ScenarioTeams0[[#This Row],[wins]]/ScenarioTeams0[[#This Row],[battles]],0)</f>
        <v>0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0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17" s="3">
        <f>IF(ScenarioTeams0[[#This Row],[battles]],ScenarioTeams0[[#This Row],[wins]]/ScenarioTeams0[[#This Row],[battles]],0)</f>
        <v>1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">
        <f>ScenarioStat0[[#This Row],[team-1-win]]+ScenarioStat0[[#This Row],[team-2-win]]</f>
        <v>0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8" s="3">
        <f>IF(ScenarioTeams0[[#This Row],[battles]],ScenarioTeams0[[#This Row],[wins]]/ScenarioTeams0[[#This Row],[battles]],0)</f>
        <v>0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">
        <f>ScenarioStat0[[#This Row],[team-1-win]]+ScenarioStat0[[#This Row],[team-2-win]]</f>
        <v>0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9" s="3">
        <f>IF(ScenarioTeams0[[#This Row],[battles]],ScenarioTeams0[[#This Row],[wins]]/ScenarioTeams0[[#This Row],[battles]],0)</f>
        <v>0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0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0" s="3">
        <f>IF(ScenarioTeams0[[#This Row],[battles]],ScenarioTeams0[[#This Row],[wins]]/ScenarioTeams0[[#This Row],[battles]],0)</f>
        <v>0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0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1" s="3">
        <f>IF(ScenarioTeams0[[#This Row],[battles]],ScenarioTeams0[[#This Row],[wins]]/ScenarioTeams0[[#This Row],[battles]],0)</f>
        <v>0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0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2" s="3">
        <f>IF(ScenarioTeams0[[#This Row],[battles]],ScenarioTeams0[[#This Row],[wins]]/ScenarioTeams0[[#This Row],[battles]],0)</f>
        <v>0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">
        <f>ScenarioStat0[[#This Row],[team-1-win]]+ScenarioStat0[[#This Row],[team-2-win]]</f>
        <v>0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3" s="3">
        <f>IF(ScenarioTeams0[[#This Row],[battles]],ScenarioTeams0[[#This Row],[wins]]/ScenarioTeams0[[#This Row],[battles]],0)</f>
        <v>0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">
        <f>ScenarioStat0[[#This Row],[team-1-win]]+ScenarioStat0[[#This Row],[team-2-win]]</f>
        <v>0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4" s="3">
        <f>IF(ScenarioTeams0[[#This Row],[battles]],ScenarioTeams0[[#This Row],[wins]]/ScenarioTeams0[[#This Row],[battles]],0)</f>
        <v>0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">
        <f>ScenarioStat0[[#This Row],[team-1-win]]+ScenarioStat0[[#This Row],[team-2-win]]</f>
        <v>0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5" s="3">
        <f>IF(ScenarioTeams0[[#This Row],[battles]],ScenarioTeams0[[#This Row],[wins]]/ScenarioTeams0[[#This Row],[battles]],0)</f>
        <v>0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">
        <f>ScenarioStat0[[#This Row],[team-1-win]]+ScenarioStat0[[#This Row],[team-2-win]]</f>
        <v>0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6" s="3">
        <f>IF(ScenarioTeams0[[#This Row],[battles]],ScenarioTeams0[[#This Row],[wins]]/ScenarioTeams0[[#This Row],[battles]],0)</f>
        <v>0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">
        <f>ScenarioStat0[[#This Row],[team-1-win]]+ScenarioStat0[[#This Row],[team-2-win]]</f>
        <v>0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7" s="3">
        <f>IF(ScenarioTeams0[[#This Row],[battles]],ScenarioTeams0[[#This Row],[wins]]/ScenarioTeams0[[#This Row],[battles]],0)</f>
        <v>0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">
        <f>ScenarioStat0[[#This Row],[team-1-win]]+ScenarioStat0[[#This Row],[team-2-win]]</f>
        <v>0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8" s="3">
        <f>IF(ScenarioTeams0[[#This Row],[battles]],ScenarioTeams0[[#This Row],[wins]]/ScenarioTeams0[[#This Row],[battles]],0)</f>
        <v>0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0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9" s="3">
        <f>IF(ScenarioTeams0[[#This Row],[battles]],ScenarioTeams0[[#This Row],[wins]]/ScenarioTeams0[[#This Row],[battles]],0)</f>
        <v>0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0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0" s="3">
        <f>IF(ScenarioTeams0[[#This Row],[battles]],ScenarioTeams0[[#This Row],[wins]]/ScenarioTeams0[[#This Row],[battles]],0)</f>
        <v>0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0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0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0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0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0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0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0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0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0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0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0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0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0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4">
        <f>ScenarioStat0[[#This Row],[team-1-win]]+ScenarioStat0[[#This Row],[team-2-win]]</f>
        <v>0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0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0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0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0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0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0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0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0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0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0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0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0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0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0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0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0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0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0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0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0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0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0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0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0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0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0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0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0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0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0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0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0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0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0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9">
        <f>ScenarioStat0[[#This Row],[team-1-win]]+ScenarioStat0[[#This Row],[team-2-win]]</f>
        <v>0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0">
        <f>ScenarioStat0[[#This Row],[team-1-win]]+ScenarioStat0[[#This Row],[team-2-win]]</f>
        <v>0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0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0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3">
        <f>ScenarioStat0[[#This Row],[team-1-win]]+ScenarioStat0[[#This Row],[team-2-win]]</f>
        <v>0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0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0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0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7">
        <f>ScenarioStat0[[#This Row],[team-1-win]]+ScenarioStat0[[#This Row],[team-2-win]]</f>
        <v>0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0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9">
        <f>ScenarioStat0[[#This Row],[team-1-win]]+ScenarioStat0[[#This Row],[team-2-win]]</f>
        <v>0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0">
        <f>ScenarioStat0[[#This Row],[team-1-win]]+ScenarioStat0[[#This Row],[team-2-win]]</f>
        <v>0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0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0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0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4">
        <f>ScenarioStat0[[#This Row],[team-1-win]]+ScenarioStat0[[#This Row],[team-2-win]]</f>
        <v>0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0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0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7">
        <f>ScenarioStat0[[#This Row],[team-1-win]]+ScenarioStat0[[#This Row],[team-2-win]]</f>
        <v>0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0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0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0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0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0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0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4">
        <f>ScenarioStat0[[#This Row],[team-1-win]]+ScenarioStat0[[#This Row],[team-2-win]]</f>
        <v>0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0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6">
        <f>ScenarioStat0[[#This Row],[team-1-win]]+ScenarioStat0[[#This Row],[team-2-win]]</f>
        <v>0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0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8">
        <f>ScenarioStat0[[#This Row],[team-1-win]]+ScenarioStat0[[#This Row],[team-2-win]]</f>
        <v>0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9">
        <f>ScenarioStat0[[#This Row],[team-1-win]]+ScenarioStat0[[#This Row],[team-2-win]]</f>
        <v>0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0">
        <f>ScenarioStat0[[#This Row],[team-1-win]]+ScenarioStat0[[#This Row],[team-2-win]]</f>
        <v>0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0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2">
        <f>ScenarioStat0[[#This Row],[team-1-win]]+ScenarioStat0[[#This Row],[team-2-win]]</f>
        <v>0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3">
        <f>ScenarioStat0[[#This Row],[team-1-win]]+ScenarioStat0[[#This Row],[team-2-win]]</f>
        <v>0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4">
        <f>ScenarioStat0[[#This Row],[team-1-win]]+ScenarioStat0[[#This Row],[team-2-win]]</f>
        <v>0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0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0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0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0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0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0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0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0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0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4">
        <f>ScenarioStat0[[#This Row],[team-1-win]]+ScenarioStat0[[#This Row],[team-2-win]]</f>
        <v>0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0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0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0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0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0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0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0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0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0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0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0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0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0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0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0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0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0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0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0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0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0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0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0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8">
        <f>ScenarioStat0[[#This Row],[team-1-win]]+ScenarioStat0[[#This Row],[team-2-win]]</f>
        <v>0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0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0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0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0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3">
        <f>ScenarioStat0[[#This Row],[team-1-win]]+ScenarioStat0[[#This Row],[team-2-win]]</f>
        <v>0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4">
        <f>ScenarioStat0[[#This Row],[team-1-win]]+ScenarioStat0[[#This Row],[team-2-win]]</f>
        <v>0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5">
        <f>ScenarioStat0[[#This Row],[team-1-win]]+ScenarioStat0[[#This Row],[team-2-win]]</f>
        <v>0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6">
        <f>ScenarioStat0[[#This Row],[team-1-win]]+ScenarioStat0[[#This Row],[team-2-win]]</f>
        <v>0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7">
        <f>ScenarioStat0[[#This Row],[team-1-win]]+ScenarioStat0[[#This Row],[team-2-win]]</f>
        <v>0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0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0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0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0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0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0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4">
        <f>ScenarioStat0[[#This Row],[team-1-win]]+ScenarioStat0[[#This Row],[team-2-win]]</f>
        <v>0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0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6">
        <f>ScenarioStat0[[#This Row],[team-1-win]]+ScenarioStat0[[#This Row],[team-2-win]]</f>
        <v>0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0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0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0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0">
        <f>ScenarioStat0[[#This Row],[team-1-win]]+ScenarioStat0[[#This Row],[team-2-win]]</f>
        <v>0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0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2">
        <f>ScenarioStat0[[#This Row],[team-1-win]]+ScenarioStat0[[#This Row],[team-2-win]]</f>
        <v>0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0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0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0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0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0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0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0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0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0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2">
        <f>ScenarioStat0[[#This Row],[team-1-win]]+ScenarioStat0[[#This Row],[team-2-win]]</f>
        <v>0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0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0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0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0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7">
        <f>ScenarioStat0[[#This Row],[team-1-win]]+ScenarioStat0[[#This Row],[team-2-win]]</f>
        <v>0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0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0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0">
        <f>ScenarioStat0[[#This Row],[team-1-win]]+ScenarioStat0[[#This Row],[team-2-win]]</f>
        <v>0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0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0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0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0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0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0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0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8">
        <f>ScenarioStat0[[#This Row],[team-1-win]]+ScenarioStat0[[#This Row],[team-2-win]]</f>
        <v>0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9">
        <f>ScenarioStat0[[#This Row],[team-1-win]]+ScenarioStat0[[#This Row],[team-2-win]]</f>
        <v>0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0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0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0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0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0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5">
        <f>ScenarioStat0[[#This Row],[team-1-win]]+ScenarioStat0[[#This Row],[team-2-win]]</f>
        <v>0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0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0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0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0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0">
        <f>ScenarioStat0[[#This Row],[team-1-win]]+ScenarioStat0[[#This Row],[team-2-win]]</f>
        <v>0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1">
        <f>ScenarioStat0[[#This Row],[team-1-win]]+ScenarioStat0[[#This Row],[team-2-win]]</f>
        <v>0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0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D28" sqref="D28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0.33571428571428569</v>
      </c>
    </row>
    <row r="3" spans="1:22" x14ac:dyDescent="0.25">
      <c r="A3" t="s">
        <v>72</v>
      </c>
      <c r="B3">
        <f>L3+L24+L45+L66+L87+L108</f>
        <v>52</v>
      </c>
      <c r="C3">
        <f>M3+M24+M45+M66+M87+M108</f>
        <v>20</v>
      </c>
      <c r="D3" s="3">
        <f>IF(SUM(LightbringerAbilities1[[#This Row],[takes]]) &gt; 0,LightbringerAbilities1[[#This Row],[takes]]/SUM(LightbringerAbilities1[takes]),0)</f>
        <v>0.37142857142857144</v>
      </c>
      <c r="E3" s="3">
        <f>IF(LightbringerAbilities1[[#This Row],[takes]]&gt;0,LightbringerAbilities1[[#This Row],[wins]]/LightbringerAbilities1[[#This Row],[takes]],0)</f>
        <v>0.38461538461538464</v>
      </c>
      <c r="G3">
        <v>1</v>
      </c>
      <c r="H3">
        <f>R3+R24+R45+R66+R87+R108</f>
        <v>55</v>
      </c>
      <c r="I3" s="18">
        <f>S3+S24+S45+S66+S87+S108</f>
        <v>90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3">
        <f>COUNTIF(Scenario0[winner1-ability1],LightbringerAbilities1Scenario0[[#This Row],[ability]])+COUNTIF(Scenario0[winner2-ability1],LightbringerAbilities1Scenario0[[#This Row],[ability]])</f>
        <v>0</v>
      </c>
      <c r="N3" s="3">
        <f>IF(SUM(LightbringerAbilities1Scenario0[[#This Row],[takes]]) &gt; 0,LightbringerAbilities1Scenario0[[#This Row],[takes]]/SUM(LightbringerAbilities1Scenario0[takes]),0)</f>
        <v>0</v>
      </c>
      <c r="O3" s="3">
        <f>IF(LightbringerAbilities1Scenario0[[#This Row],[takes]]&gt;0,LightbringerAbilities1Scenario0[[#This Row],[wins]]/LightbringerAbilities1Scenario0[[#This Row],[takes]],0)</f>
        <v>0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3" t="s">
        <v>204</v>
      </c>
      <c r="V3" s="16">
        <f>H5/SUM(LightbringerEquip[hammer])</f>
        <v>0.27142857142857141</v>
      </c>
    </row>
    <row r="4" spans="1:22" x14ac:dyDescent="0.25">
      <c r="A4" t="s">
        <v>145</v>
      </c>
      <c r="B4">
        <f t="shared" ref="B4:B5" si="0">L4+L25+L46+L67+L88+L109</f>
        <v>47</v>
      </c>
      <c r="C4">
        <f t="shared" ref="C4:C5" si="1">M4+M25+M46+M67+M88+M109</f>
        <v>24</v>
      </c>
      <c r="D4" s="3">
        <f>IF(SUM(LightbringerAbilities1[[#This Row],[takes]]) &gt; 0,LightbringerAbilities1[[#This Row],[takes]]/SUM(LightbringerAbilities1[takes]),0)</f>
        <v>0.33571428571428569</v>
      </c>
      <c r="E4" s="3">
        <f>IF(LightbringerAbilities1[[#This Row],[takes]]&gt;0,LightbringerAbilities1[[#This Row],[wins]]/LightbringerAbilities1[[#This Row],[takes]],0)</f>
        <v>0.51063829787234039</v>
      </c>
      <c r="G4">
        <v>2</v>
      </c>
      <c r="H4">
        <f t="shared" ref="H4:H5" si="2">R4+R25+R46+R67+R88+R109</f>
        <v>47</v>
      </c>
      <c r="I4" s="18">
        <f t="shared" ref="I4:I5" si="3">S4+S25+S46+S67+S88+S109</f>
        <v>24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4">
        <f>COUNTIF(Scenario0[winner1-ability1],LightbringerAbilities1Scenario0[[#This Row],[ability]])+COUNTIF(Scenario0[winner2-ability1],LightbringerAbilities1Scenario0[[#This Row],[ability]])</f>
        <v>0</v>
      </c>
      <c r="N4" s="3">
        <f>IF(SUM(LightbringerAbilities1Scenario0[[#This Row],[takes]]) &gt; 0,LightbringerAbilities1Scenario0[[#This Row],[takes]]/SUM(LightbringerAbilities1Scenario0[takes]),0)</f>
        <v>0</v>
      </c>
      <c r="O4" s="3">
        <f>IF(LightbringerAbilities1Scenario0[[#This Row],[takes]]&gt;0,LightbringerAbilities1Scenario0[[#This Row],[wins]]/LightbringerAbilities1Scenario0[[#This Row],[takes]],0)</f>
        <v>0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4" t="s">
        <v>179</v>
      </c>
      <c r="V4" s="3">
        <f>LightbringerEquip[[#This Row],[chestpiece]]/SUM(LightbringerEquip[chestpiece])</f>
        <v>0.17142857142857143</v>
      </c>
    </row>
    <row r="5" spans="1:22" x14ac:dyDescent="0.25">
      <c r="A5" t="s">
        <v>103</v>
      </c>
      <c r="B5">
        <f t="shared" si="0"/>
        <v>41</v>
      </c>
      <c r="C5">
        <f t="shared" si="1"/>
        <v>20</v>
      </c>
      <c r="D5" s="3">
        <f>IF(SUM(LightbringerAbilities1[[#This Row],[takes]]) &gt; 0,LightbringerAbilities1[[#This Row],[takes]]/SUM(LightbringerAbilities1[takes]),0)</f>
        <v>0.29285714285714287</v>
      </c>
      <c r="E5" s="3">
        <f>IF(LightbringerAbilities1[[#This Row],[takes]]&gt;0,LightbringerAbilities1[[#This Row],[wins]]/LightbringerAbilities1[[#This Row],[takes]],0)</f>
        <v>0.48780487804878048</v>
      </c>
      <c r="G5">
        <v>3</v>
      </c>
      <c r="H5">
        <f t="shared" si="2"/>
        <v>38</v>
      </c>
      <c r="I5" s="18">
        <f t="shared" si="3"/>
        <v>26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5">
        <f>COUNTIF(Scenario0[winner1-ability1],LightbringerAbilities1Scenario0[[#This Row],[ability]])+COUNTIF(Scenario0[winner2-ability1],LightbringerAbilities1Scenario0[[#This Row],[ability]])</f>
        <v>0</v>
      </c>
      <c r="N5" s="3">
        <f>IF(SUM(LightbringerAbilities1Scenario0[[#This Row],[takes]]) &gt; 0,LightbringerAbilities1Scenario0[[#This Row],[takes]]/SUM(LightbringerAbilities1Scenario0[takes]),0)</f>
        <v>0</v>
      </c>
      <c r="O5" s="3">
        <f>IF(LightbringerAbilities1Scenario0[[#This Row],[takes]]&gt;0,LightbringerAbilities1Scenario0[[#This Row],[wins]]/LightbringerAbilities1Scenario0[[#This Row],[takes]],0)</f>
        <v>0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0.18571428571428572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0.98571428571428577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0.80714285714285716</v>
      </c>
    </row>
    <row r="8" spans="1:22" x14ac:dyDescent="0.25">
      <c r="A8" s="2" t="s">
        <v>95</v>
      </c>
      <c r="B8" s="2">
        <f>L8+L29+L50+L71+L92+L113</f>
        <v>61</v>
      </c>
      <c r="C8" s="2">
        <f>M8+M29+M50+M71+M92+M113</f>
        <v>27</v>
      </c>
      <c r="D8" s="12">
        <f>IF(SUM(LightbringerAbilities2[[#This Row],[takes]]) &gt; 0,LightbringerAbilities2[[#This Row],[takes]]/SUM(LightbringerAbilities2[takes]),0)</f>
        <v>0.4420289855072464</v>
      </c>
      <c r="E8" s="12">
        <f>IF(LightbringerAbilities2[[#This Row],[takes]]&gt;0,LightbringerAbilities2[[#This Row],[wins]]/LightbringerAbilities2[[#This Row],[takes]],0)</f>
        <v>0.44262295081967212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8" s="2">
        <f>COUNTIF(Scenario0[winner1-ability2],LightbringerAbilities2Scenario0[[#This Row],[ability]])+COUNTIF(Scenario0[winner2-ability2],LightbringerAbilities2Scenario0[[#This Row],[ability]])</f>
        <v>0</v>
      </c>
      <c r="N8" s="12">
        <f>IF(SUM(LightbringerAbilities2Scenario0[[#This Row],[takes]]) &gt; 0,LightbringerAbilities2Scenario0[[#This Row],[takes]]/SUM(LightbringerAbilities2Scenario0[takes]),0)</f>
        <v>0</v>
      </c>
      <c r="O8" s="12">
        <f>IF(LightbringerAbilities2Scenario0[[#This Row],[takes]]&gt;0,LightbringerAbilities2Scenario0[[#This Row],[wins]]/LightbringerAbilities2Scenario0[[#This Row],[takes]],0)</f>
        <v>0</v>
      </c>
      <c r="S8" s="18"/>
      <c r="U8" t="s">
        <v>178</v>
      </c>
      <c r="V8" s="16">
        <f>SUM(LightbringerAbilities4[takes])/SUM(LightbringerAbilities1[takes])</f>
        <v>0.41428571428571431</v>
      </c>
    </row>
    <row r="9" spans="1:22" x14ac:dyDescent="0.25">
      <c r="A9" t="s">
        <v>146</v>
      </c>
      <c r="B9" s="2">
        <f t="shared" ref="B9:B10" si="4">L9+L30+L51+L72+L93+L114</f>
        <v>74</v>
      </c>
      <c r="C9" s="2">
        <f t="shared" ref="C9:C10" si="5">M9+M30+M51+M72+M93+M114</f>
        <v>36</v>
      </c>
      <c r="D9" s="3">
        <f>IF(SUM(LightbringerAbilities2[[#This Row],[takes]]) &gt; 0,LightbringerAbilities2[[#This Row],[takes]]/SUM(LightbringerAbilities2[takes]),0)</f>
        <v>0.53623188405797106</v>
      </c>
      <c r="E9" s="3">
        <f>IF(LightbringerAbilities2[[#This Row],[takes]]&gt;0,LightbringerAbilities2[[#This Row],[wins]]/LightbringerAbilities2[[#This Row],[takes]],0)</f>
        <v>0.48648648648648651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9" s="2">
        <f>COUNTIF(Scenario0[winner1-ability2],LightbringerAbilities2Scenario0[[#This Row],[ability]])+COUNTIF(Scenario0[winner2-ability2],LightbringerAbilities2Scenario0[[#This Row],[ability]])</f>
        <v>0</v>
      </c>
      <c r="N9" s="3">
        <f>IF(SUM(LightbringerAbilities2Scenario0[[#This Row],[takes]]) &gt; 0,LightbringerAbilities2Scenario0[[#This Row],[takes]]/SUM(LightbringerAbilities2Scenario0[takes]),0)</f>
        <v>0</v>
      </c>
      <c r="O9" s="3">
        <f>IF(LightbringerAbilities2Scenario0[[#This Row],[takes]]&gt;0,LightbringerAbilities2Scenario0[[#This Row],[wins]]/LightbringerAbilities2Scenario0[[#This Row],[takes]],0)</f>
        <v>0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3.1714285714285713</v>
      </c>
    </row>
    <row r="10" spans="1:22" x14ac:dyDescent="0.25">
      <c r="A10" s="10" t="s">
        <v>91</v>
      </c>
      <c r="B10" s="2">
        <f t="shared" si="4"/>
        <v>3</v>
      </c>
      <c r="C10" s="2">
        <f t="shared" si="5"/>
        <v>0</v>
      </c>
      <c r="D10" s="13">
        <f>IF(SUM(LightbringerAbilities2[[#This Row],[takes]]) &gt; 0,LightbringerAbilities2[[#This Row],[takes]]/SUM(LightbringerAbilities2[takes]),0)</f>
        <v>2.1739130434782608E-2</v>
      </c>
      <c r="E10" s="13">
        <f>IF(LightbringerAbilities2[[#This Row],[takes]]&gt;0,LightbringerAbilities2[[#This Row],[wins]]/LightbringerAbilities2[[#This Row],[takes]],0)</f>
        <v>0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10" s="2">
        <f>COUNTIF(Scenario0[winner1-ability2],LightbringerAbilities2Scenario0[[#This Row],[ability]])+COUNTIF(Scenario0[winner2-ability2],LightbringerAbilities2Scenario0[[#This Row],[ability]])</f>
        <v>0</v>
      </c>
      <c r="N10" s="13">
        <f>IF(SUM(LightbringerAbilities2Scenario0[[#This Row],[takes]]) &gt; 0,LightbringerAbilities2Scenario0[[#This Row],[takes]]/SUM(LightbringerAbilities2Scenario0[takes]),0)</f>
        <v>0</v>
      </c>
      <c r="O10" s="13">
        <f>IF(LightbringerAbilities2Scenario0[[#This Row],[takes]]&gt;0,LightbringerAbilities2Scenario0[[#This Row],[wins]]/LightbringerAbilities2Scenario0[[#This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48</v>
      </c>
      <c r="C13" s="1">
        <f>M13+M34+M55+M76+M97+M118</f>
        <v>20</v>
      </c>
      <c r="D13" s="14">
        <f>IF(SUM(LightbringerAbilities3[[#This Row],[takes]]) &gt; 0,LightbringerAbilities3[[#This Row],[takes]]/SUM(LightbringerAbilities3[takes]),0)</f>
        <v>0.4247787610619469</v>
      </c>
      <c r="E13" s="14">
        <f>IF(LightbringerAbilities3[[#This Row],[takes]]&gt;0,LightbringerAbilities3[[#This Row],[wins]]/LightbringerAbilities3[[#This Row],[takes]],0)</f>
        <v>0.41666666666666669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46</v>
      </c>
      <c r="C14" s="2">
        <f t="shared" ref="C14:C15" si="7">M14+M35+M56+M77+M98+M119</f>
        <v>19</v>
      </c>
      <c r="D14" s="12">
        <f>IF(SUM(LightbringerAbilities3[[#This Row],[takes]]) &gt; 0,LightbringerAbilities3[[#This Row],[takes]]/SUM(LightbringerAbilities3[takes]),0)</f>
        <v>0.40707964601769914</v>
      </c>
      <c r="E14" s="12">
        <f>IF(LightbringerAbilities3[[#This Row],[takes]]&gt;0,LightbringerAbilities3[[#This Row],[wins]]/LightbringerAbilities3[[#This Row],[takes]],0)</f>
        <v>0.41304347826086957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4" s="2">
        <f>COUNTIF(Scenario0[winner1-ability3],LightbringerAbilities3Scenario0[[#This Row],[ability]])+COUNTIF(Scenario0[winner2-ability3],LightbringerAbilities3Scenario0[[#This Row],[ability]])</f>
        <v>0</v>
      </c>
      <c r="N14" s="12">
        <f>IF(SUM(LightbringerAbilities3Scenario0[[#This Row],[takes]]) &gt; 0,LightbringerAbilities3Scenario0[[#This Row],[takes]]/SUM(LightbringerAbilities3Scenario0[takes]),0)</f>
        <v>0</v>
      </c>
      <c r="O14" s="12">
        <f>IF(LightbringerAbilities3Scenario0[[#This Row],[takes]]&gt;0,LightbringerAbilities3Scenario0[[#This Row],[wins]]/LightbringerAbilities3Scenario0[[#This Row],[takes]],0)</f>
        <v>0</v>
      </c>
      <c r="S14" s="18"/>
    </row>
    <row r="15" spans="1:22" x14ac:dyDescent="0.25">
      <c r="A15" s="11" t="s">
        <v>148</v>
      </c>
      <c r="B15" s="1">
        <f t="shared" si="6"/>
        <v>19</v>
      </c>
      <c r="C15" s="1">
        <f t="shared" si="7"/>
        <v>14</v>
      </c>
      <c r="D15" s="15">
        <f>IF(SUM(LightbringerAbilities3[[#This Row],[takes]]) &gt; 0,LightbringerAbilities3[[#This Row],[takes]]/SUM(LightbringerAbilities3[takes]),0)</f>
        <v>0.16814159292035399</v>
      </c>
      <c r="E15" s="15">
        <f>IF(LightbringerAbilities3[[#This Row],[takes]]&gt;0,LightbringerAbilities3[[#This Row],[wins]]/LightbringerAbilities3[[#This Row],[takes]],0)</f>
        <v>0.73684210526315785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15</v>
      </c>
      <c r="C18" s="2">
        <f>M18+M39+M60+M81+M102+M123</f>
        <v>9</v>
      </c>
      <c r="D18" s="12">
        <f>IF(SUM(LightbringerAbilities4[[#This Row],[takes]]) &gt; 0,LightbringerAbilities4[[#This Row],[takes]]/SUM(LightbringerAbilities4[takes]),0)</f>
        <v>0.25862068965517243</v>
      </c>
      <c r="E18" s="12">
        <f>IF(LightbringerAbilities4[[#This Row],[takes]]&gt;0,LightbringerAbilities4[[#This Row],[wins]]/LightbringerAbilities4[[#This Row],[takes]],0)</f>
        <v>0.6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22</v>
      </c>
      <c r="C19" s="2">
        <f t="shared" ref="C19:C20" si="9">M19+M40+M61+M82+M103+M124</f>
        <v>13</v>
      </c>
      <c r="D19" s="12">
        <f>IF(SUM(LightbringerAbilities4[[#This Row],[takes]]) &gt; 0,LightbringerAbilities4[[#This Row],[takes]]/SUM(LightbringerAbilities4[takes]),0)</f>
        <v>0.37931034482758619</v>
      </c>
      <c r="E19" s="12">
        <f>IF(LightbringerAbilities4[[#This Row],[takes]]&gt;0,LightbringerAbilities4[[#This Row],[wins]]/LightbringerAbilities4[[#This Row],[takes]],0)</f>
        <v>0.59090909090909094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21</v>
      </c>
      <c r="C20" s="2">
        <f t="shared" si="9"/>
        <v>6</v>
      </c>
      <c r="D20" s="26">
        <f>IF(SUM(LightbringerAbilities4[[#This Row],[takes]]) &gt; 0,LightbringerAbilities4[[#This Row],[takes]]/SUM(LightbringerAbilities4[takes]),0)</f>
        <v>0.36206896551724138</v>
      </c>
      <c r="E20" s="26">
        <f>IF(LightbringerAbilities4[[#This Row],[takes]]&gt;0,LightbringerAbilities4[[#This Row],[wins]]/LightbringerAbilities4[[#This Row],[takes]],0)</f>
        <v>0.2857142857142857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4">
        <f>COUNTIF(Scenario1[winner1-ability1],LightbringerAbilities1Scenario1[[#This Row],[ability]])+COUNTIF(Scenario1[winner2-ability1],LightbringerAbilities1Scenario1[[#This Row],[ability]])</f>
        <v>0</v>
      </c>
      <c r="N24" s="3">
        <f>IF(SUM(LightbringerAbilities1Scenario1[[#This Row],[takes]]) &gt; 0,LightbringerAbilities1Scenario1[[#This Row],[takes]]/SUM(LightbringerAbilities1Scenario1[takes]),0)</f>
        <v>0</v>
      </c>
      <c r="O24" s="3">
        <f>IF(LightbringerAbilities1Scenario1[[#This Row],[takes]]&gt;0,LightbringerAbilities1Scenario1[[#This Row],[wins]]/LightbringerAbilities1Scenario1[[#This Row],[takes]],0)</f>
        <v>0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5">
        <f>COUNTIF(Scenario1[winner1-ability1],LightbringerAbilities1Scenario1[[#This Row],[ability]])+COUNTIF(Scenario1[winner2-ability1],LightbringerAbilities1Scenario1[[#This Row],[ability]])</f>
        <v>0</v>
      </c>
      <c r="N25" s="3">
        <f>IF(SUM(LightbringerAbilities1Scenario1[[#This Row],[takes]]) &gt; 0,LightbringerAbilities1Scenario1[[#This Row],[takes]]/SUM(LightbringerAbilities1Scenario1[takes]),0)</f>
        <v>0</v>
      </c>
      <c r="O25" s="3">
        <f>IF(LightbringerAbilities1Scenario1[[#This Row],[takes]]&gt;0,LightbringerAbilities1Scenario1[[#This Row],[wins]]/LightbringerAbilities1Scenario1[[#This Row],[takes]],0)</f>
        <v>0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6">
        <f>COUNTIF(Scenario1[winner1-ability1],LightbringerAbilities1Scenario1[[#This Row],[ability]])+COUNTIF(Scenario1[winner2-ability1],LightbringerAbilities1Scenario1[[#This Row],[ability]])</f>
        <v>0</v>
      </c>
      <c r="N26" s="3">
        <f>IF(SUM(LightbringerAbilities1Scenario1[[#This Row],[takes]]) &gt; 0,LightbringerAbilities1Scenario1[[#This Row],[takes]]/SUM(LightbringerAbilities1Scenario1[takes]),0)</f>
        <v>0</v>
      </c>
      <c r="O26" s="3">
        <f>IF(LightbringerAbilities1Scenario1[[#This Row],[takes]]&gt;0,LightbringerAbilities1Scenario1[[#This Row],[wins]]/LightbringerAbilities1Scenario1[[#This Row],[takes]],0)</f>
        <v>0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29" s="2">
        <f>COUNTIF(Scenario1[winner1-ability2],LightbringerAbilities2Scenario1[[#This Row],[ability]])+COUNTIF(Scenario1[winner2-ability2],LightbringerAbilities2Scenario1[[#This Row],[ability]])</f>
        <v>0</v>
      </c>
      <c r="N29" s="12">
        <f>IF(SUM(LightbringerAbilities2Scenario1[[#This Row],[takes]]) &gt; 0,LightbringerAbilities2Scenario1[[#This Row],[takes]]/SUM(LightbringerAbilities2Scenario1[takes]),0)</f>
        <v>0</v>
      </c>
      <c r="O29" s="12">
        <f>IF(LightbringerAbilities2Scenario1[[#This Row],[takes]]&gt;0,LightbringerAbilities2Scenario1[[#This Row],[wins]]/LightbringerAbilities2Scenario1[[#This Row],[takes]],0)</f>
        <v>0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0" s="2">
        <f>COUNTIF(Scenario1[winner1-ability2],LightbringerAbilities2Scenario1[[#This Row],[ability]])+COUNTIF(Scenario1[winner2-ability2],LightbringerAbilities2Scenario1[[#This Row],[ability]])</f>
        <v>0</v>
      </c>
      <c r="N30" s="3">
        <f>IF(SUM(LightbringerAbilities2Scenario1[[#This Row],[takes]]) &gt; 0,LightbringerAbilities2Scenario1[[#This Row],[takes]]/SUM(LightbringerAbilities2Scenario1[takes]),0)</f>
        <v>0</v>
      </c>
      <c r="O30" s="3">
        <f>IF(LightbringerAbilities2Scenario1[[#This Row],[takes]]&gt;0,LightbringerAbilities2Scenario1[[#This Row],[wins]]/LightbringerAbilities2Scenario1[[#This Row],[takes]],0)</f>
        <v>0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1" s="2">
        <f>COUNTIF(Scenario1[winner1-ability2],LightbringerAbilities2Scenario1[[#This Row],[ability]])+COUNTIF(Scenario1[winner2-ability2],LightbringerAbilities2Scenario1[[#This Row],[ability]])</f>
        <v>0</v>
      </c>
      <c r="N31" s="13">
        <f>IF(SUM(LightbringerAbilities2Scenario1[[#This Row],[takes]]) &gt; 0,LightbringerAbilities2Scenario1[[#This Row],[takes]]/SUM(LightbringerAbilities2Scenario1[takes]),0)</f>
        <v>0</v>
      </c>
      <c r="O31" s="13">
        <f>IF(LightbringerAbilities2Scenario1[[#This Row],[takes]]&gt;0,LightbringerAbilities2Scenario1[[#This Row],[wins]]/LightbringerAbilities2Scenario1[[#This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4" s="1">
        <f>COUNTIF(Scenario1[winner1-ability3],LightbringerAbilities3Scenario1[[#This Row],[ability]])+COUNTIF(Scenario1[winner2-ability3],LightbringerAbilities3Scenario1[[#This Row],[ability]])</f>
        <v>0</v>
      </c>
      <c r="N34" s="14">
        <f>IF(SUM(LightbringerAbilities3Scenario1[[#This Row],[takes]]) &gt; 0,LightbringerAbilities3Scenario1[[#This Row],[takes]]/SUM(LightbringerAbilities3Scenario1[takes]),0)</f>
        <v>0</v>
      </c>
      <c r="O34" s="14">
        <f>IF(LightbringerAbilities3Scenario1[[#This Row],[takes]]&gt;0,LightbringerAbilities3Scenario1[[#This Row],[wins]]/LightbringerAbilities3Scenario1[[#This Row],[takes]],0)</f>
        <v>0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5" s="2">
        <f>COUNTIF(Scenario1[winner1-ability3],LightbringerAbilities3Scenario1[[#This Row],[ability]])+COUNTIF(Scenario1[winner2-ability3],LightbringerAbilities3Scenario1[[#This Row],[ability]])</f>
        <v>0</v>
      </c>
      <c r="N35" s="12">
        <f>IF(SUM(LightbringerAbilities3Scenario1[[#This Row],[takes]]) &gt; 0,LightbringerAbilities3Scenario1[[#This Row],[takes]]/SUM(LightbringerAbilities3Scenario1[takes]),0)</f>
        <v>0</v>
      </c>
      <c r="O35" s="12">
        <f>IF(LightbringerAbilities3Scenario1[[#This Row],[takes]]&gt;0,LightbringerAbilities3Scenario1[[#This Row],[wins]]/LightbringerAbilities3Scenario1[[#This Row],[takes]],0)</f>
        <v>0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5">
        <f>IF(SUM(LightbringerAbilities3Scenario1[[#This Row],[takes]]) &gt; 0,LightbringerAbilities3Scenario1[[#This Row],[takes]]/SUM(LightbringerAbilities3Scenario1[takes]),0)</f>
        <v>0</v>
      </c>
      <c r="O36" s="15">
        <f>IF(LightbringerAbilities3Scenario1[[#This Row],[takes]]&gt;0,LightbringerAbilities3Scenario1[[#This Row],[wins]]/LightbringerAbilities3Scenario1[[#This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2">
        <f>IF(SUM(LightbringerAbilities4Scenario1[[#This Row],[takes]]) &gt; 0,LightbringerAbilities4Scenario1[[#This Row],[takes]]/SUM(LightbringerAbilities4Scenario1[takes]),0)</f>
        <v>0</v>
      </c>
      <c r="O40" s="12">
        <f>IF(LightbringerAbilities4Scenario1[[#This Row],[takes]]&gt;0,LightbringerAbilities4Scenario1[[#This Row],[wins]]/LightbringerAbilities4Scenario1[[#This Row],[takes]],0)</f>
        <v>0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1" s="25">
        <f>COUNTIF(Scenario1[winner1-ability4],LightbringerAbilities4Scenario1[[#This Row],[ability]])+COUNTIF(Scenario1[winner2-ability4],LightbringerAbilities4Scenario1[[#This Row],[ability]])</f>
        <v>0</v>
      </c>
      <c r="N41" s="26">
        <f>IF(SUM(LightbringerAbilities4Scenario1[[#This Row],[takes]]) &gt; 0,LightbringerAbilities4Scenario1[[#This Row],[takes]]/SUM(LightbringerAbilities4Scenario1[takes]),0)</f>
        <v>0</v>
      </c>
      <c r="O41" s="26">
        <f>IF(LightbringerAbilities4Scenario1[[#This Row],[takes]]&gt;0,LightbringerAbilities4Scenario1[[#This Row],[wins]]/LightbringerAbilities4Scenario1[[#This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9</v>
      </c>
      <c r="M45">
        <f>COUNTIF(Scenario2[winner1-ability1],LightbringerAbilities1Scenario2[[#This Row],[ability]])</f>
        <v>5</v>
      </c>
      <c r="N45" s="3">
        <f>IF(SUM(LightbringerAbilities1Scenario2[[#This Row],[takes]]) &gt; 0,LightbringerAbilities1Scenario2[[#This Row],[takes]]/SUM(LightbringerAbilities1Scenario2[takes]),0)</f>
        <v>0.6428571428571429</v>
      </c>
      <c r="O45" s="3">
        <f>IF(LightbringerAbilities1Scenario2[[#This Row],[takes]]&gt;0,LightbringerAbilities1Scenario2[[#This Row],[wins]]/LightbringerAbilities1Scenario2[[#This Row],[takes]],0)</f>
        <v>0.55555555555555558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9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1</v>
      </c>
      <c r="M46">
        <f>COUNTIF(Scenario2[winner1-ability1],LightbringerAbilities1Scenario2[[#This Row],[ability]])</f>
        <v>1</v>
      </c>
      <c r="N46" s="3">
        <f>IF(SUM(LightbringerAbilities1Scenario2[[#This Row],[takes]]) &gt; 0,LightbringerAbilities1Scenario2[[#This Row],[takes]]/SUM(LightbringerAbilities1Scenario2[takes]),0)</f>
        <v>7.1428571428571425E-2</v>
      </c>
      <c r="O46" s="3">
        <f>IF(LightbringerAbilities1Scenario2[[#This Row],[takes]]&gt;0,LightbringerAbilities1Scenario2[[#This Row],[wins]]/LightbringerAbilities1Scenario2[[#This Row],[takes]],0)</f>
        <v>1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1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3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0.75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8</v>
      </c>
      <c r="M50" s="2">
        <f>COUNTIF(Scenario2[winner1-ability2],LightbringerAbilities2Scenario2[[#This Row],[ability]])</f>
        <v>5</v>
      </c>
      <c r="N50" s="12">
        <f>IF(SUM(LightbringerAbilities2Scenario2[[#This Row],[takes]]) &gt; 0,LightbringerAbilities2Scenario2[[#This Row],[takes]]/SUM(LightbringerAbilities2Scenario2[takes]),0)</f>
        <v>0.5714285714285714</v>
      </c>
      <c r="O50" s="12">
        <f>IF(LightbringerAbilities2Scenario2[[#This Row],[takes]]&gt;0,LightbringerAbilities2Scenario2[[#This Row],[wins]]/LightbringerAbilities2Scenario2[[#This Row],[takes]],0)</f>
        <v>0.625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6</v>
      </c>
      <c r="M51" s="2">
        <f>COUNTIF(Scenario2[winner1-ability2],LightbringerAbilities2Scenario2[[#This Row],[ability]])</f>
        <v>4</v>
      </c>
      <c r="N51" s="3">
        <f>IF(SUM(LightbringerAbilities2Scenario2[[#This Row],[takes]]) &gt; 0,LightbringerAbilities2Scenario2[[#This Row],[takes]]/SUM(LightbringerAbilities2Scenario2[takes]),0)</f>
        <v>0.42857142857142855</v>
      </c>
      <c r="O51" s="3">
        <f>IF(LightbringerAbilities2Scenario2[[#This Row],[takes]]&gt;0,LightbringerAbilities2Scenario2[[#This Row],[wins]]/LightbringerAbilities2Scenario2[[#This Row],[takes]],0)</f>
        <v>0.66666666666666663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6</v>
      </c>
      <c r="M55" s="1">
        <f>COUNTIF(Scenario2[winner1-ability3],LightbringerAbilities3Scenario2[[#This Row],[ability]])</f>
        <v>5</v>
      </c>
      <c r="N55" s="14">
        <f>IF(SUM(LightbringerAbilities3Scenario2[[#This Row],[takes]]) &gt; 0,LightbringerAbilities3Scenario2[[#This Row],[takes]]/SUM(LightbringerAbilities3Scenario2[takes]),0)</f>
        <v>0.5</v>
      </c>
      <c r="O55" s="14">
        <f>IF(LightbringerAbilities3Scenario2[[#This Row],[takes]]&gt;0,LightbringerAbilities3Scenario2[[#This Row],[wins]]/LightbringerAbilities3Scenario2[[#This Row],[takes]],0)</f>
        <v>0.83333333333333337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5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0.41666666666666669</v>
      </c>
      <c r="O56" s="12">
        <f>IF(LightbringerAbilities3Scenario2[[#This Row],[takes]]&gt;0,LightbringerAbilities3Scenario2[[#This Row],[wins]]/LightbringerAbilities3Scenario2[[#This Row],[takes]],0)</f>
        <v>0.4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1</v>
      </c>
      <c r="M57" s="1">
        <f>COUNTIF(Scenario2[winner1-ability3],LightbringerAbilities3Scenario2[[#This Row],[ability]])</f>
        <v>1</v>
      </c>
      <c r="N57" s="15">
        <f>IF(SUM(LightbringerAbilities3Scenario2[[#This Row],[takes]]) &gt; 0,LightbringerAbilities3Scenario2[[#This Row],[takes]]/SUM(LightbringerAbilities3Scenario2[takes]),0)</f>
        <v>8.3333333333333329E-2</v>
      </c>
      <c r="O57" s="15">
        <f>IF(LightbringerAbilities3Scenario2[[#This Row],[takes]]&gt;0,LightbringerAbilities3Scenario2[[#This Row],[wins]]/LightbringerAbilities3Scenario2[[#This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3</v>
      </c>
      <c r="M60" s="2">
        <f>COUNTIF(Scenario2[winner1-ability4],LightbringerAbilities4Scenario2[[#This Row],[ability]])</f>
        <v>3</v>
      </c>
      <c r="N60" s="12">
        <f>IF(SUM(LightbringerAbilities4Scenario2[[#This Row],[takes]]) &gt; 0,LightbringerAbilities4Scenario2[[#This Row],[takes]]/SUM(LightbringerAbilities4Scenario2[takes]),0)</f>
        <v>0.33333333333333331</v>
      </c>
      <c r="O60" s="12">
        <f>IF(LightbringerAbilities4Scenario2[[#This Row],[takes]]&gt;0,LightbringerAbilities4Scenario2[[#This Row],[wins]]/LightbringerAbilities4Scenario2[[#This Row],[takes]],0)</f>
        <v>1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1</v>
      </c>
      <c r="N61" s="12">
        <f>IF(SUM(LightbringerAbilities4Scenario2[[#This Row],[takes]]) &gt; 0,LightbringerAbilities4Scenario2[[#This Row],[takes]]/SUM(LightbringerAbilities4Scenario2[takes]),0)</f>
        <v>0.22222222222222221</v>
      </c>
      <c r="O61" s="12">
        <f>IF(LightbringerAbilities4Scenario2[[#This Row],[takes]]&gt;0,LightbringerAbilities4Scenario2[[#This Row],[wins]]/LightbringerAbilities4Scenario2[[#This Row],[takes]],0)</f>
        <v>0.5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4</v>
      </c>
      <c r="M62" s="25">
        <f>COUNTIF(Scenario2[winner1-ability4],LightbringerAbilities4Scenario2[[#This Row],[ability]])</f>
        <v>1</v>
      </c>
      <c r="N62" s="26">
        <f>IF(SUM(LightbringerAbilities4Scenario2[[#This Row],[takes]]) &gt; 0,LightbringerAbilities4Scenario2[[#This Row],[takes]]/SUM(LightbringerAbilities4Scenario2[takes]),0)</f>
        <v>0.44444444444444442</v>
      </c>
      <c r="O62" s="26">
        <f>IF(LightbringerAbilities4Scenario2[[#This Row],[takes]]&gt;0,LightbringerAbilities4Scenario2[[#This Row],[wins]]/LightbringerAbilities4Scenario2[[#This Row],[takes]],0)</f>
        <v>0.25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11</v>
      </c>
      <c r="M66">
        <f>COUNTIF(Scenario3[winner1-ability1],LightbringerAbilities1Scenario3[[#This Row],[ability]])</f>
        <v>4</v>
      </c>
      <c r="N66" s="3">
        <f>IF(SUM(LightbringerAbilities1Scenario3[[#This Row],[takes]]) &gt; 0,LightbringerAbilities1Scenario3[[#This Row],[takes]]/SUM(LightbringerAbilities1Scenario3[takes]),0)</f>
        <v>0.52380952380952384</v>
      </c>
      <c r="O66" s="3">
        <f>IF(LightbringerAbilities1Scenario3[[#This Row],[takes]]&gt;0,LightbringerAbilities1Scenario3[[#This Row],[wins]]/LightbringerAbilities1Scenario3[[#This Row],[takes]],0)</f>
        <v>0.36363636363636365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3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4</v>
      </c>
      <c r="M67">
        <f>COUNTIF(Scenario3[winner1-ability1],LightbringerAbilities1Scenario3[[#This Row],[ability]])</f>
        <v>1</v>
      </c>
      <c r="N67" s="3">
        <f>IF(SUM(LightbringerAbilities1Scenario3[[#This Row],[takes]]) &gt; 0,LightbringerAbilities1Scenario3[[#This Row],[takes]]/SUM(LightbringerAbilities1Scenario3[takes]),0)</f>
        <v>0.19047619047619047</v>
      </c>
      <c r="O67" s="3">
        <f>IF(LightbringerAbilities1Scenario3[[#This Row],[takes]]&gt;0,LightbringerAbilities1Scenario3[[#This Row],[wins]]/LightbringerAbilities1Scenario3[[#This Row],[takes]],0)</f>
        <v>0.25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6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6</v>
      </c>
      <c r="M68">
        <f>COUNTIF(Scenario3[winner1-ability1],LightbringerAbilities1Scenario3[[#This Row],[ability]])</f>
        <v>2</v>
      </c>
      <c r="N68" s="3">
        <f>IF(SUM(LightbringerAbilities1Scenario3[[#This Row],[takes]]) &gt; 0,LightbringerAbilities1Scenario3[[#This Row],[takes]]/SUM(LightbringerAbilities1Scenario3[takes]),0)</f>
        <v>0.2857142857142857</v>
      </c>
      <c r="O68" s="3">
        <f>IF(LightbringerAbilities1Scenario3[[#This Row],[takes]]&gt;0,LightbringerAbilities1Scenario3[[#This Row],[wins]]/LightbringerAbilities1Scenario3[[#This Row],[takes]],0)</f>
        <v>0.33333333333333331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13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7</v>
      </c>
      <c r="M71" s="2">
        <f>COUNTIF(Scenario3[winner1-ability2],LightbringerAbilities2Scenario3[[#This Row],[ability]])</f>
        <v>3</v>
      </c>
      <c r="N71" s="12">
        <f>IF(SUM(LightbringerAbilities2Scenario3[[#This Row],[takes]]) &gt; 0,LightbringerAbilities2Scenario3[[#This Row],[takes]]/SUM(LightbringerAbilities2Scenario3[takes]),0)</f>
        <v>0.33333333333333331</v>
      </c>
      <c r="O71" s="12">
        <f>IF(LightbringerAbilities2Scenario3[[#This Row],[takes]]&gt;0,LightbringerAbilities2Scenario3[[#This Row],[wins]]/LightbringerAbilities2Scenario3[[#This Row],[takes]],0)</f>
        <v>0.42857142857142855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14</v>
      </c>
      <c r="M72" s="2">
        <f>COUNTIF(Scenario3[winner1-ability2],LightbringerAbilities2Scenario3[[#This Row],[ability]])</f>
        <v>4</v>
      </c>
      <c r="N72" s="3">
        <f>IF(SUM(LightbringerAbilities2Scenario3[[#This Row],[takes]]) &gt; 0,LightbringerAbilities2Scenario3[[#This Row],[takes]]/SUM(LightbringerAbilities2Scenario3[takes]),0)</f>
        <v>0.66666666666666663</v>
      </c>
      <c r="O72" s="3">
        <f>IF(LightbringerAbilities2Scenario3[[#This Row],[takes]]&gt;0,LightbringerAbilities2Scenario3[[#This Row],[wins]]/LightbringerAbilities2Scenario3[[#This Row],[takes]],0)</f>
        <v>0.2857142857142857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7</v>
      </c>
      <c r="M76" s="1">
        <f>COUNTIF(Scenario3[winner1-ability3],LightbringerAbilities3Scenario3[[#This Row],[ability]])</f>
        <v>2</v>
      </c>
      <c r="N76" s="14">
        <f>IF(SUM(LightbringerAbilities3Scenario3[[#This Row],[takes]]) &gt; 0,LightbringerAbilities3Scenario3[[#This Row],[takes]]/SUM(LightbringerAbilities3Scenario3[takes]),0)</f>
        <v>0.36842105263157893</v>
      </c>
      <c r="O76" s="14">
        <f>IF(LightbringerAbilities3Scenario3[[#This Row],[takes]]&gt;0,LightbringerAbilities3Scenario3[[#This Row],[wins]]/LightbringerAbilities3Scenario3[[#This Row],[takes]],0)</f>
        <v>0.2857142857142857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8</v>
      </c>
      <c r="M77" s="2">
        <f>COUNTIF(Scenario3[winner1-ability3],LightbringerAbilities3Scenario3[[#This Row],[ability]])</f>
        <v>3</v>
      </c>
      <c r="N77" s="12">
        <f>IF(SUM(LightbringerAbilities3Scenario3[[#This Row],[takes]]) &gt; 0,LightbringerAbilities3Scenario3[[#This Row],[takes]]/SUM(LightbringerAbilities3Scenario3[takes]),0)</f>
        <v>0.42105263157894735</v>
      </c>
      <c r="O77" s="12">
        <f>IF(LightbringerAbilities3Scenario3[[#This Row],[takes]]&gt;0,LightbringerAbilities3Scenario3[[#This Row],[wins]]/LightbringerAbilities3Scenario3[[#This Row],[takes]],0)</f>
        <v>0.375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8" s="1">
        <f>COUNTIF(Scenario3[winner1-ability3],LightbringerAbilities3Scenario3[[#This Row],[ability]])</f>
        <v>1</v>
      </c>
      <c r="N78" s="15">
        <f>IF(SUM(LightbringerAbilities3Scenario3[[#This Row],[takes]]) &gt; 0,LightbringerAbilities3Scenario3[[#This Row],[takes]]/SUM(LightbringerAbilities3Scenario3[takes]),0)</f>
        <v>0.21052631578947367</v>
      </c>
      <c r="O78" s="15">
        <f>IF(LightbringerAbilities3Scenario3[[#This Row],[takes]]&gt;0,LightbringerAbilities3Scenario3[[#This Row],[wins]]/LightbringerAbilities3Scenario3[[#This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5</v>
      </c>
      <c r="M81" s="2">
        <f>COUNTIF(Scenario3[winner1-ability4],LightbringerAbilities4Scenario3[[#This Row],[ability]])</f>
        <v>3</v>
      </c>
      <c r="N81" s="12">
        <f>IF(SUM(LightbringerAbilities4Scenario3[[#This Row],[takes]]) &gt; 0,LightbringerAbilities4Scenario3[[#This Row],[takes]]/SUM(LightbringerAbilities4Scenario3[takes]),0)</f>
        <v>0.3125</v>
      </c>
      <c r="O81" s="12">
        <f>IF(LightbringerAbilities4Scenario3[[#This Row],[takes]]&gt;0,LightbringerAbilities4Scenario3[[#This Row],[wins]]/LightbringerAbilities4Scenario3[[#This Row],[takes]],0)</f>
        <v>0.6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2" s="2">
        <f>COUNTIF(Scenario3[winner1-ability4],LightbringerAbilities4Scenario3[[#This Row],[ability]])</f>
        <v>2</v>
      </c>
      <c r="N82" s="12">
        <f>IF(SUM(LightbringerAbilities4Scenario3[[#This Row],[takes]]) &gt; 0,LightbringerAbilities4Scenario3[[#This Row],[takes]]/SUM(LightbringerAbilities4Scenario3[takes]),0)</f>
        <v>0.1875</v>
      </c>
      <c r="O82" s="12">
        <f>IF(LightbringerAbilities4Scenario3[[#This Row],[takes]]&gt;0,LightbringerAbilities4Scenario3[[#This Row],[wins]]/LightbringerAbilities4Scenario3[[#This Row],[takes]],0)</f>
        <v>0.66666666666666663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8</v>
      </c>
      <c r="M83" s="2">
        <f>COUNTIF(Scenario3[winner1-ability4],LightbringerAbilities4Scenario3[[#This Row],[ability]])</f>
        <v>1</v>
      </c>
      <c r="N83" s="26">
        <f>IF(SUM(LightbringerAbilities4Scenario3[[#This Row],[takes]]) &gt; 0,LightbringerAbilities4Scenario3[[#This Row],[takes]]/SUM(LightbringerAbilities4Scenario3[takes]),0)</f>
        <v>0.5</v>
      </c>
      <c r="O83" s="26">
        <f>IF(LightbringerAbilities4Scenario3[[#This Row],[takes]]&gt;0,LightbringerAbilities4Scenario3[[#This Row],[wins]]/LightbringerAbilities4Scenario3[[#This Row],[takes]],0)</f>
        <v>0.125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8">
        <f>COUNTIF(Scenario4[winner1-ability1],LightbringerAbilities1Scenario4[[#This Row],[ability]])</f>
        <v>0</v>
      </c>
      <c r="N88" s="3">
        <f>IF(SUM(LightbringerAbilities1Scenario4[[#This Row],[takes]]) &gt; 0,LightbringerAbilities1Scenario4[[#This Row],[takes]]/SUM(LightbringerAbilities1Scenario4[takes]),0)</f>
        <v>0</v>
      </c>
      <c r="O88" s="3">
        <f>IF(LightbringerAbilities1Scenario4[[#This Row],[takes]]&gt;0,LightbringerAbilities1Scenario4[[#This Row],[wins]]/LightbringerAbilities1Scenario4[[#This Row],[takes]],0)</f>
        <v>0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9">
        <f>COUNTIF(Scenario4[winner1-ability1],LightbringerAbilities1Scenario4[[#This Row],[ability]])</f>
        <v>0</v>
      </c>
      <c r="N89" s="3">
        <f>IF(SUM(LightbringerAbilities1Scenario4[[#This Row],[takes]]) &gt; 0,LightbringerAbilities1Scenario4[[#This Row],[takes]]/SUM(LightbringerAbilities1Scenario4[takes]),0)</f>
        <v>0</v>
      </c>
      <c r="O89" s="3">
        <f>IF(LightbringerAbilities1Scenario4[[#This Row],[takes]]&gt;0,LightbringerAbilities1Scenario4[[#This Row],[wins]]/LightbringerAbilities1Scenario4[[#This Row],[takes]],0)</f>
        <v>0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3" s="2">
        <f>COUNTIF(Scenario4[winner1-ability2],LightbringerAbilities2Scenario4[[#This Row],[ability]])</f>
        <v>0</v>
      </c>
      <c r="N93" s="3">
        <f>IF(SUM(LightbringerAbilities2Scenario4[[#This Row],[takes]]) &gt; 0,LightbringerAbilities2Scenario4[[#This Row],[takes]]/SUM(LightbringerAbilities2Scenario4[takes]),0)</f>
        <v>0</v>
      </c>
      <c r="O93" s="3">
        <f>IF(LightbringerAbilities2Scenario4[[#This Row],[takes]]&gt;0,LightbringerAbilities2Scenario4[[#This Row],[wins]]/LightbringerAbilities2Scenario4[[#This Row],[takes]],0)</f>
        <v>0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7" s="1">
        <f>COUNTIF(Scenario4[winner1-ability3],LightbringerAbilities3Scenario4[[#This Row],[ability]])</f>
        <v>0</v>
      </c>
      <c r="N97" s="14">
        <f>IF(SUM(LightbringerAbilities3Scenario4[[#This Row],[takes]]) &gt; 0,LightbringerAbilities3Scenario4[[#This Row],[takes]]/SUM(LightbringerAbilities3Scenario4[takes]),0)</f>
        <v>0</v>
      </c>
      <c r="O97" s="14">
        <f>IF(LightbringerAbilities3Scenario4[[#This Row],[takes]]&gt;0,LightbringerAbilities3Scenario4[[#This Row],[wins]]/LightbringerAbilities3Scenario4[[#This Row],[takes]],0)</f>
        <v>0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0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9" s="1">
        <f>COUNTIF(Scenario4[winner1-ability3],LightbringerAbilities3Scenario4[[#This Row],[ability]])</f>
        <v>0</v>
      </c>
      <c r="N99" s="15">
        <f>IF(SUM(LightbringerAbilities3Scenario4[[#This Row],[takes]]) &gt; 0,LightbringerAbilities3Scenario4[[#This Row],[takes]]/SUM(LightbringerAbilities3Scenario4[takes]),0)</f>
        <v>0</v>
      </c>
      <c r="O99" s="15">
        <f>IF(LightbringerAbilities3Scenario4[[#This Row],[takes]]&gt;0,LightbringerAbilities3Scenario4[[#This Row],[wins]]/LightbringerAbilities3Scenario4[[#This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2" s="2">
        <f>COUNTIF(Scenario4[winner1-ability4],LightbringerAbilities4Scenario4[[#This Row],[ability]])</f>
        <v>0</v>
      </c>
      <c r="N102" s="12">
        <f>IF(SUM(LightbringerAbilities4Scenario4[[#This Row],[takes]]) &gt; 0,LightbringerAbilities4Scenario4[[#This Row],[takes]]/SUM(LightbringerAbilities4Scenario4[takes]),0)</f>
        <v>0</v>
      </c>
      <c r="O102" s="12">
        <f>IF(LightbringerAbilities4Scenario4[[#This Row],[takes]]&gt;0,LightbringerAbilities4Scenario4[[#This Row],[wins]]/LightbringerAbilities4Scenario4[[#This Row],[takes]],0)</f>
        <v>0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3" s="2">
        <f>COUNTIF(Scenario4[winner1-ability4],LightbringerAbilities4Scenario4[[#This Row],[ability]])</f>
        <v>0</v>
      </c>
      <c r="N103" s="12">
        <f>IF(SUM(LightbringerAbilities4Scenario4[[#This Row],[takes]]) &gt; 0,LightbringerAbilities4Scenario4[[#This Row],[takes]]/SUM(LightbringerAbilities4Scenario4[takes]),0)</f>
        <v>0</v>
      </c>
      <c r="O103" s="12">
        <f>IF(LightbringerAbilities4Scenario4[[#This Row],[takes]]&gt;0,LightbringerAbilities4Scenario4[[#This Row],[wins]]/LightbringerAbilities4Scenario4[[#This Row],[takes]],0)</f>
        <v>0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4" s="2">
        <f>COUNTIF(Scenario4[winner1-ability4],LightbringerAbilities4Scenario4[[#This Row],[ability]])</f>
        <v>0</v>
      </c>
      <c r="N104" s="26">
        <f>IF(SUM(LightbringerAbilities4Scenario4[[#This Row],[takes]]) &gt; 0,LightbringerAbilities4Scenario4[[#This Row],[takes]]/SUM(LightbringerAbilities4Scenario4[takes]),0)</f>
        <v>0</v>
      </c>
      <c r="O104" s="26">
        <f>IF(LightbringerAbilities4Scenario4[[#This Row],[takes]]&gt;0,LightbringerAbilities4Scenario4[[#This Row],[wins]]/LightbringerAbilities4Scenario4[[#This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32</v>
      </c>
      <c r="M108">
        <f>COUNTIF(Scenario5[winner1-ability1],LightbringerAbilities1Scenario5[[#This Row],[ability]])+COUNTIF(Scenario5[winner2-ability1],LightbringerAbilities1Scenario5[[#This Row],[ability]])</f>
        <v>11</v>
      </c>
      <c r="N108" s="3">
        <f>IF(SUM(LightbringerAbilities1Scenario5[[#This Row],[takes]]) &gt; 0,LightbringerAbilities1Scenario5[[#This Row],[takes]]/SUM(LightbringerAbilities1Scenario5[takes]),0)</f>
        <v>0.30476190476190479</v>
      </c>
      <c r="O108" s="3">
        <f>IF(LightbringerAbilities1Scenario5[[#This Row],[takes]]&gt;0,LightbringerAbilities1Scenario5[[#This Row],[wins]]/LightbringerAbilities1Scenario5[[#This Row],[takes]],0)</f>
        <v>0.34375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48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78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42</v>
      </c>
      <c r="M109">
        <f>COUNTIF(Scenario5[winner1-ability1],LightbringerAbilities1Scenario5[[#This Row],[ability]])+COUNTIF(Scenario5[winner2-ability1],LightbringerAbilities1Scenario5[[#This Row],[ability]])</f>
        <v>22</v>
      </c>
      <c r="N109" s="3">
        <f>IF(SUM(LightbringerAbilities1Scenario5[[#This Row],[takes]]) &gt; 0,LightbringerAbilities1Scenario5[[#This Row],[takes]]/SUM(LightbringerAbilities1Scenario5[takes]),0)</f>
        <v>0.4</v>
      </c>
      <c r="O109" s="3">
        <f>IF(LightbringerAbilities1Scenario5[[#This Row],[takes]]&gt;0,LightbringerAbilities1Scenario5[[#This Row],[wins]]/LightbringerAbilities1Scenario5[[#This Row],[takes]],0)</f>
        <v>0.52380952380952384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36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17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31</v>
      </c>
      <c r="M110">
        <f>COUNTIF(Scenario5[winner1-ability1],LightbringerAbilities1Scenario5[[#This Row],[ability]])+COUNTIF(Scenario5[winner2-ability1],LightbringerAbilities1Scenario5[[#This Row],[ability]])</f>
        <v>15</v>
      </c>
      <c r="N110" s="3">
        <f>IF(SUM(LightbringerAbilities1Scenario5[[#This Row],[takes]]) &gt; 0,LightbringerAbilities1Scenario5[[#This Row],[takes]]/SUM(LightbringerAbilities1Scenario5[takes]),0)</f>
        <v>0.29523809523809524</v>
      </c>
      <c r="O110" s="3">
        <f>IF(LightbringerAbilities1Scenario5[[#This Row],[takes]]&gt;0,LightbringerAbilities1Scenario5[[#This Row],[wins]]/LightbringerAbilities1Scenario5[[#This Row],[takes]],0)</f>
        <v>0.4838709677419355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21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46</v>
      </c>
      <c r="M113" s="2">
        <f>COUNTIF(Scenario5[winner1-ability2],LightbringerAbilities2Scenario5[[#This Row],[ability]])+COUNTIF(Scenario5[winner2-ability2],LightbringerAbilities2Scenario5[[#This Row],[ability]])</f>
        <v>19</v>
      </c>
      <c r="N113" s="12">
        <f>IF(SUM(LightbringerAbilities2Scenario5[[#This Row],[takes]]) &gt; 0,LightbringerAbilities2Scenario5[[#This Row],[takes]]/SUM(LightbringerAbilities2Scenario5[takes]),0)</f>
        <v>0.44660194174757284</v>
      </c>
      <c r="O113" s="12">
        <f>IF(LightbringerAbilities2Scenario5[[#This Row],[takes]]&gt;0,LightbringerAbilities2Scenario5[[#This Row],[wins]]/LightbringerAbilities2Scenario5[[#This Row],[takes]],0)</f>
        <v>0.41304347826086957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54</v>
      </c>
      <c r="M114" s="2">
        <f>COUNTIF(Scenario5[winner1-ability2],LightbringerAbilities2Scenario5[[#This Row],[ability]])+COUNTIF(Scenario5[winner2-ability2],LightbringerAbilities2Scenario5[[#This Row],[ability]])</f>
        <v>28</v>
      </c>
      <c r="N114" s="3">
        <f>IF(SUM(LightbringerAbilities2Scenario5[[#This Row],[takes]]) &gt; 0,LightbringerAbilities2Scenario5[[#This Row],[takes]]/SUM(LightbringerAbilities2Scenario5[takes]),0)</f>
        <v>0.52427184466019416</v>
      </c>
      <c r="O114" s="3">
        <f>IF(LightbringerAbilities2Scenario5[[#This Row],[takes]]&gt;0,LightbringerAbilities2Scenario5[[#This Row],[wins]]/LightbringerAbilities2Scenario5[[#This Row],[takes]],0)</f>
        <v>0.51851851851851849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</v>
      </c>
      <c r="M115" s="2">
        <f>COUNTIF(Scenario5[winner1-ability2],LightbringerAbilities2Scenario5[[#This Row],[ability]])+COUNTIF(Scenario5[winner2-ability2],LightbringerAbilities2Scenario5[[#This Row],[ability]])</f>
        <v>0</v>
      </c>
      <c r="N115" s="13">
        <f>IF(SUM(LightbringerAbilities2Scenario5[[#This Row],[takes]]) &gt; 0,LightbringerAbilities2Scenario5[[#This Row],[takes]]/SUM(LightbringerAbilities2Scenario5[takes]),0)</f>
        <v>2.9126213592233011E-2</v>
      </c>
      <c r="O115" s="13">
        <f>IF(LightbringerAbilities2Scenario5[[#This Row],[takes]]&gt;0,LightbringerAbilities2Scenario5[[#This Row],[wins]]/LightbringerAbilities2Scenario5[[#This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35</v>
      </c>
      <c r="M118" s="1">
        <f>COUNTIF(Scenario5[winner1-ability3],LightbringerAbilities3Scenario5[[#This Row],[ability]])+COUNTIF(Scenario5[winner2-ability3],LightbringerAbilities3Scenario5[[#This Row],[ability]])</f>
        <v>13</v>
      </c>
      <c r="N118" s="14">
        <f>IF(SUM(LightbringerAbilities3Scenario5[[#This Row],[takes]]) &gt; 0,LightbringerAbilities3Scenario5[[#This Row],[takes]]/SUM(LightbringerAbilities3Scenario5[takes]),0)</f>
        <v>0.42682926829268292</v>
      </c>
      <c r="O118" s="14">
        <f>IF(LightbringerAbilities3Scenario5[[#This Row],[takes]]&gt;0,LightbringerAbilities3Scenario5[[#This Row],[wins]]/LightbringerAbilities3Scenario5[[#This Row],[takes]],0)</f>
        <v>0.37142857142857144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33</v>
      </c>
      <c r="M119" s="2">
        <f>COUNTIF(Scenario5[winner1-ability3],LightbringerAbilities3Scenario5[[#This Row],[ability]])+COUNTIF(Scenario5[winner2-ability3],LightbringerAbilities3Scenario5[[#This Row],[ability]])</f>
        <v>14</v>
      </c>
      <c r="N119" s="12">
        <f>IF(SUM(LightbringerAbilities3Scenario5[[#This Row],[takes]]) &gt; 0,LightbringerAbilities3Scenario5[[#This Row],[takes]]/SUM(LightbringerAbilities3Scenario5[takes]),0)</f>
        <v>0.40243902439024393</v>
      </c>
      <c r="O119" s="12">
        <f>IF(LightbringerAbilities3Scenario5[[#This Row],[takes]]&gt;0,LightbringerAbilities3Scenario5[[#This Row],[wins]]/LightbringerAbilities3Scenario5[[#This Row],[takes]],0)</f>
        <v>0.42424242424242425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14</v>
      </c>
      <c r="M120" s="1">
        <f>COUNTIF(Scenario5[winner1-ability3],LightbringerAbilities3Scenario5[[#This Row],[ability]])+COUNTIF(Scenario5[winner2-ability3],LightbringerAbilities3Scenario5[[#This Row],[ability]])</f>
        <v>12</v>
      </c>
      <c r="N120" s="15">
        <f>IF(SUM(LightbringerAbilities3Scenario5[[#This Row],[takes]]) &gt; 0,LightbringerAbilities3Scenario5[[#This Row],[takes]]/SUM(LightbringerAbilities3Scenario5[takes]),0)</f>
        <v>0.17073170731707318</v>
      </c>
      <c r="O120" s="15">
        <f>IF(LightbringerAbilities3Scenario5[[#This Row],[takes]]&gt;0,LightbringerAbilities3Scenario5[[#This Row],[wins]]/LightbringerAbilities3Scenario5[[#This Row],[takes]],0)</f>
        <v>0.8571428571428571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7</v>
      </c>
      <c r="M123" s="2">
        <f>COUNTIF(Scenario5[winner1-ability4],LightbringerAbilities4Scenario5[[#This Row],[ability]])+COUNTIF(Scenario5[winner2-ability4],LightbringerAbilities4Scenario5[[#This Row],[ability]])</f>
        <v>3</v>
      </c>
      <c r="N123" s="12">
        <f>IF(SUM(LightbringerAbilities4Scenario5[[#This Row],[takes]]) &gt; 0,LightbringerAbilities4Scenario5[[#This Row],[takes]]/SUM(LightbringerAbilities4Scenario5[takes]),0)</f>
        <v>0.21212121212121213</v>
      </c>
      <c r="O123" s="12">
        <f>IF(LightbringerAbilities4Scenario5[[#This Row],[takes]]&gt;0,LightbringerAbilities4Scenario5[[#This Row],[wins]]/LightbringerAbilities4Scenario5[[#This Row],[takes]],0)</f>
        <v>0.42857142857142855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17</v>
      </c>
      <c r="M124" s="2">
        <f>COUNTIF(Scenario5[winner1-ability4],LightbringerAbilities4Scenario5[[#This Row],[ability]])+COUNTIF(Scenario5[winner2-ability4],LightbringerAbilities4Scenario5[[#This Row],[ability]])</f>
        <v>10</v>
      </c>
      <c r="N124" s="12">
        <f>IF(SUM(LightbringerAbilities4Scenario5[[#This Row],[takes]]) &gt; 0,LightbringerAbilities4Scenario5[[#This Row],[takes]]/SUM(LightbringerAbilities4Scenario5[takes]),0)</f>
        <v>0.51515151515151514</v>
      </c>
      <c r="O124" s="12">
        <f>IF(LightbringerAbilities4Scenario5[[#This Row],[takes]]&gt;0,LightbringerAbilities4Scenario5[[#This Row],[wins]]/LightbringerAbilities4Scenario5[[#This Row],[takes]],0)</f>
        <v>0.58823529411764708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9</v>
      </c>
      <c r="M125" s="2">
        <f>COUNTIF(Scenario5[winner1-ability4],LightbringerAbilities4Scenario5[[#This Row],[ability]])+COUNTIF(Scenario5[winner2-ability4],LightbringerAbilities4Scenario5[[#This Row],[ability]])</f>
        <v>4</v>
      </c>
      <c r="N125" s="26">
        <f>IF(SUM(LightbringerAbilities4Scenario5[[#This Row],[takes]]) &gt; 0,LightbringerAbilities4Scenario5[[#This Row],[takes]]/SUM(LightbringerAbilities4Scenario5[takes]),0)</f>
        <v>0.27272727272727271</v>
      </c>
      <c r="O125" s="26">
        <f>IF(LightbringerAbilities4Scenario5[[#This Row],[takes]]&gt;0,LightbringerAbilities4Scenario5[[#This Row],[wins]]/LightbringerAbilities4Scenario5[[#This Row],[takes]],0)</f>
        <v>0.44444444444444442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G29" sqref="G29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0.19285714285714287</v>
      </c>
    </row>
    <row r="3" spans="1:24" x14ac:dyDescent="0.25">
      <c r="A3" t="s">
        <v>67</v>
      </c>
      <c r="B3">
        <f>M3+M24+M45+M66+M87+M108</f>
        <v>46</v>
      </c>
      <c r="C3">
        <f>N3+N24+N45+N66+N87+N108</f>
        <v>19</v>
      </c>
      <c r="D3" s="3">
        <f>IF(SUM(AvengerAbilities1[[#This Row],[takes]]) &gt; 0,AvengerAbilities1[[#This Row],[takes]]/SUM(AvengerAbilities1[takes]),0)</f>
        <v>0.32857142857142857</v>
      </c>
      <c r="E3" s="3">
        <f>IF(AvengerAbilities1[[#This Row],[takes]]&gt;0,AvengerAbilities1[[#This Row],[wins]]/AvengerAbilities1[[#This Row],[takes]],0)</f>
        <v>0.41304347826086957</v>
      </c>
      <c r="G3">
        <v>1</v>
      </c>
      <c r="H3">
        <f>S3+S24+S45+S66+S87+S108</f>
        <v>43</v>
      </c>
      <c r="I3">
        <f>T3+T24+T45+T66+T87+T108</f>
        <v>97</v>
      </c>
      <c r="J3" s="18">
        <f>U3+U24+U45+U66+U87+U108</f>
        <v>35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3">
        <f>COUNTIF(Scenario0[winner1-ability1],AvengerAbilities1Scenario0[[#This Row],[ability]])+COUNTIF(Scenario0[winner2-ability1],AvengerAbilities1Scenario0[[#This Row],[ability]])</f>
        <v>0</v>
      </c>
      <c r="O3" s="3">
        <f>IF(SUM(AvengerAbilities1Scenario0[[#This Row],[takes]]) &gt; 0,AvengerAbilities1Scenario0[[#This Row],[takes]]/SUM(AvengerAbilities1Scenario0[takes]),0)</f>
        <v>0</v>
      </c>
      <c r="P3" s="3">
        <f>IF(AvengerAbilities1Scenario0[[#This Row],[takes]]&gt;0,AvengerAbilities1Scenario0[[#This Row],[wins]]/AvengerAbilities1Scenario0[[#This Row],[takes]],0)</f>
        <v>0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3" t="s">
        <v>206</v>
      </c>
      <c r="X3" s="16">
        <f>H5/SUM(AvengerEquip[sabre])</f>
        <v>0.5</v>
      </c>
    </row>
    <row r="4" spans="1:24" x14ac:dyDescent="0.25">
      <c r="A4" t="s">
        <v>152</v>
      </c>
      <c r="B4">
        <f t="shared" ref="B4:B5" si="0">M4+M25+M46+M67+M88+M109</f>
        <v>23</v>
      </c>
      <c r="C4">
        <f t="shared" ref="C4:C5" si="1">N4+N25+N46+N67+N88+N109</f>
        <v>10</v>
      </c>
      <c r="D4" s="3">
        <f>IF(SUM(AvengerAbilities1[[#This Row],[takes]]) &gt; 0,AvengerAbilities1[[#This Row],[takes]]/SUM(AvengerAbilities1[takes]),0)</f>
        <v>0.16428571428571428</v>
      </c>
      <c r="E4" s="3">
        <f>IF(AvengerAbilities1[[#This Row],[takes]]&gt;0,AvengerAbilities1[[#This Row],[wins]]/AvengerAbilities1[[#This Row],[takes]],0)</f>
        <v>0.43478260869565216</v>
      </c>
      <c r="G4">
        <v>2</v>
      </c>
      <c r="H4">
        <f t="shared" ref="H4:H5" si="2">S4+S25+S46+S67+S88+S109</f>
        <v>27</v>
      </c>
      <c r="I4">
        <f t="shared" ref="I4:I5" si="3">T4+T25+T46+T67+T88+T109</f>
        <v>25</v>
      </c>
      <c r="J4" s="18">
        <f t="shared" ref="J4:J5" si="4">U4+U25+U46+U67+U88+U109</f>
        <v>78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4">
        <f>COUNTIF(Scenario0[winner1-ability1],AvengerAbilities1Scenario0[[#This Row],[ability]])+COUNTIF(Scenario0[winner2-ability1],AvengerAbilities1Scenario0[[#This Row],[ability]])</f>
        <v>0</v>
      </c>
      <c r="O4" s="3">
        <f>IF(SUM(AvengerAbilities1Scenario0[[#This Row],[takes]]) &gt; 0,AvengerAbilities1Scenario0[[#This Row],[takes]]/SUM(AvengerAbilities1Scenario0[takes]),0)</f>
        <v>0</v>
      </c>
      <c r="P4" s="3">
        <f>IF(AvengerAbilities1Scenario0[[#This Row],[takes]]&gt;0,AvengerAbilities1Scenario0[[#This Row],[wins]]/AvengerAbilities1Scenario0[[#This Row],[takes]],0)</f>
        <v>0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4" t="s">
        <v>207</v>
      </c>
      <c r="X4" s="3">
        <f>AvengerEquip[[#This Row],[blade]]/SUM(AvengerEquip[blade])</f>
        <v>0.17857142857142858</v>
      </c>
    </row>
    <row r="5" spans="1:24" x14ac:dyDescent="0.25">
      <c r="A5" t="s">
        <v>39</v>
      </c>
      <c r="B5">
        <f t="shared" si="0"/>
        <v>71</v>
      </c>
      <c r="C5">
        <f t="shared" si="1"/>
        <v>33</v>
      </c>
      <c r="D5" s="3">
        <f>IF(SUM(AvengerAbilities1[[#This Row],[takes]]) &gt; 0,AvengerAbilities1[[#This Row],[takes]]/SUM(AvengerAbilities1[takes]),0)</f>
        <v>0.50714285714285712</v>
      </c>
      <c r="E5" s="3">
        <f>IF(AvengerAbilities1[[#This Row],[takes]]&gt;0,AvengerAbilities1[[#This Row],[wins]]/AvengerAbilities1[[#This Row],[takes]],0)</f>
        <v>0.46478873239436619</v>
      </c>
      <c r="G5">
        <v>3</v>
      </c>
      <c r="H5">
        <f t="shared" si="2"/>
        <v>70</v>
      </c>
      <c r="I5">
        <f t="shared" si="3"/>
        <v>18</v>
      </c>
      <c r="J5" s="18">
        <f t="shared" si="4"/>
        <v>27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0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5" t="s">
        <v>208</v>
      </c>
      <c r="X5" s="16">
        <f>AvengerEquip[[#This Row],[blade]]/SUM(AvengerEquip[blade])</f>
        <v>0.12857142857142856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0.55714285714285716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0.19285714285714287</v>
      </c>
    </row>
    <row r="8" spans="1:24" x14ac:dyDescent="0.25">
      <c r="A8" s="2" t="s">
        <v>40</v>
      </c>
      <c r="B8" s="2">
        <f>M8+M29+M50+M71+M92+M113</f>
        <v>57</v>
      </c>
      <c r="C8" s="2">
        <f>N8+N29+N50+N71+N92+N113</f>
        <v>21</v>
      </c>
      <c r="D8" s="12">
        <f>IF(SUM(AvengerAbilities2[[#This Row],[takes]]) &gt; 0,AvengerAbilities2[[#This Row],[takes]]/SUM(AvengerAbilities2[takes]),0)</f>
        <v>0.5</v>
      </c>
      <c r="E8" s="12">
        <f>IF(AvengerAbilities2[[#This Row],[takes]]&gt;0,AvengerAbilities2[[#This Row],[wins]]/AvengerAbilities2[[#This Row],[takes]],0)</f>
        <v>0.36842105263157893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8" s="2">
        <f>COUNTIF(Scenario0[winner1-ability2],AvengerAbilities2Scenario0[[#This Row],[ability]])+COUNTIF(Scenario0[winner2-ability2],AvengerAbilities2Scenario0[[#This Row],[ability]])</f>
        <v>0</v>
      </c>
      <c r="O8" s="12">
        <f>IF(SUM(AvengerAbilities2Scenario0[[#This Row],[takes]]) &gt; 0,AvengerAbilities2Scenario0[[#This Row],[takes]]/SUM(AvengerAbilities2Scenario0[takes]),0)</f>
        <v>0</v>
      </c>
      <c r="P8" s="12">
        <f>IF(AvengerAbilities2Scenario0[[#This Row],[takes]]&gt;0,AvengerAbilities2Scenario0[[#This Row],[wins]]/AvengerAbilities2Scenario0[[#This Row],[takes]],0)</f>
        <v>0</v>
      </c>
      <c r="U8" s="18"/>
      <c r="W8" t="s">
        <v>176</v>
      </c>
      <c r="X8" s="3">
        <f>SUM(AvengerAbilities2[takes])/SUM(AvengerAbilities1[takes])</f>
        <v>0.81428571428571428</v>
      </c>
    </row>
    <row r="9" spans="1:24" x14ac:dyDescent="0.25">
      <c r="A9" t="s">
        <v>70</v>
      </c>
      <c r="B9" s="2">
        <f t="shared" ref="B9:B10" si="5">M9+M30+M51+M72+M93+M114</f>
        <v>5</v>
      </c>
      <c r="C9" s="2">
        <f t="shared" ref="C9:C10" si="6">N9+N30+N51+N72+N93+N114</f>
        <v>4</v>
      </c>
      <c r="D9" s="3">
        <f>IF(SUM(AvengerAbilities2[[#This Row],[takes]]) &gt; 0,AvengerAbilities2[[#This Row],[takes]]/SUM(AvengerAbilities2[takes]),0)</f>
        <v>4.3859649122807015E-2</v>
      </c>
      <c r="E9" s="3">
        <f>IF(AvengerAbilities2[[#This Row],[takes]]&gt;0,AvengerAbilities2[[#This Row],[wins]]/AvengerAbilities2[[#This Row],[takes]],0)</f>
        <v>0.8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9" s="2">
        <f>COUNTIF(Scenario0[winner1-ability2],AvengerAbilities2Scenario0[[#This Row],[ability]])+COUNTIF(Scenario0[winner2-ability2],AvengerAbilities2Scenario0[[#This Row],[ability]])</f>
        <v>0</v>
      </c>
      <c r="O9" s="3">
        <f>IF(SUM(AvengerAbilities2Scenario0[[#This Row],[takes]]) &gt; 0,AvengerAbilities2Scenario0[[#This Row],[takes]]/SUM(AvengerAbilities2Scenario0[takes]),0)</f>
        <v>0</v>
      </c>
      <c r="P9" s="3">
        <f>IF(AvengerAbilities2Scenario0[[#This Row],[takes]]&gt;0,AvengerAbilities2Scenario0[[#This Row],[wins]]/AvengerAbilities2Scenario0[[#This Row],[takes]],0)</f>
        <v>0</v>
      </c>
      <c r="U9" s="18"/>
      <c r="W9" t="s">
        <v>177</v>
      </c>
      <c r="X9" s="3">
        <f>SUM(AvengerAbilities3[takes])/SUM(AvengerAbilities1[takes])</f>
        <v>0.54285714285714282</v>
      </c>
    </row>
    <row r="10" spans="1:24" x14ac:dyDescent="0.25">
      <c r="A10" s="10" t="s">
        <v>96</v>
      </c>
      <c r="B10" s="2">
        <f t="shared" si="5"/>
        <v>52</v>
      </c>
      <c r="C10" s="2">
        <f t="shared" si="6"/>
        <v>31</v>
      </c>
      <c r="D10" s="13">
        <f>IF(SUM(AvengerAbilities2[[#This Row],[takes]]) &gt; 0,AvengerAbilities2[[#This Row],[takes]]/SUM(AvengerAbilities2[takes]),0)</f>
        <v>0.45614035087719296</v>
      </c>
      <c r="E10" s="13">
        <f>IF(AvengerAbilities2[[#This Row],[takes]]&gt;0,AvengerAbilities2[[#This Row],[wins]]/AvengerAbilities2[[#This Row],[takes]],0)</f>
        <v>0.59615384615384615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10" s="2">
        <f>COUNTIF(Scenario0[winner1-ability2],AvengerAbilities2Scenario0[[#This Row],[ability]])+COUNTIF(Scenario0[winner2-ability2],AvengerAbilities2Scenario0[[#This Row],[ability]])</f>
        <v>0</v>
      </c>
      <c r="O10" s="13">
        <f>IF(SUM(AvengerAbilities2Scenario0[[#This Row],[takes]]) &gt; 0,AvengerAbilities2Scenario0[[#This Row],[takes]]/SUM(AvengerAbilities2Scenario0[takes]),0)</f>
        <v>0</v>
      </c>
      <c r="P10" s="13">
        <f>IF(AvengerAbilities2Scenario0[[#This Row],[takes]]&gt;0,AvengerAbilities2Scenario0[[#This Row],[wins]]/AvengerAbilities2Scenario0[[#This Row],[takes]],0)</f>
        <v>0</v>
      </c>
      <c r="U10" s="18"/>
      <c r="W10" t="s">
        <v>178</v>
      </c>
      <c r="X10" s="16">
        <f>SUM(AvengerAbilities4[takes])/SUM(AvengerAbilities1[takes])</f>
        <v>0.32142857142857145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3.4285714285714284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29</v>
      </c>
      <c r="C13" s="1">
        <f>N13+N34+N55+N76+N97+N118</f>
        <v>14</v>
      </c>
      <c r="D13" s="14">
        <f>IF(SUM(AvengerAbilities3[[#This Row],[takes]]) &gt; 0,AvengerAbilities3[[#This Row],[takes]]/SUM(AvengerAbilities3[takes]),0)</f>
        <v>0.38157894736842107</v>
      </c>
      <c r="E13" s="14">
        <f>IF(AvengerAbilities3[[#This Row],[takes]]&gt;0,AvengerAbilities3[[#This Row],[wins]]/AvengerAbilities3[[#This Row],[takes]],0)</f>
        <v>0.48275862068965519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3" s="1">
        <f>COUNTIF(Scenario0[winner1-ability3],AvengerAbilities3Scenario0[[#This Row],[ability]])+COUNTIF(Scenario0[winner2-ability3],AvengerAbilities3Scenario0[[#This Row],[ability]])</f>
        <v>0</v>
      </c>
      <c r="O13" s="14">
        <f>IF(SUM(AvengerAbilities3Scenario0[[#This Row],[takes]]) &gt; 0,AvengerAbilities3Scenario0[[#This Row],[takes]]/SUM(AvengerAbilities3Scenario0[takes]),0)</f>
        <v>0</v>
      </c>
      <c r="P13" s="14">
        <f>IF(AvengerAbilities3Scenario0[[#This Row],[takes]]&gt;0,AvengerAbilities3Scenario0[[#This Row],[wins]]/AvengerAbilities3Scenario0[[#This Row],[takes]],0)</f>
        <v>0</v>
      </c>
      <c r="U13" s="18"/>
    </row>
    <row r="14" spans="1:24" x14ac:dyDescent="0.25">
      <c r="A14" s="2" t="s">
        <v>153</v>
      </c>
      <c r="B14" s="2">
        <f t="shared" ref="B14:B15" si="7">M14+M35+M56+M77+M98+M119</f>
        <v>25</v>
      </c>
      <c r="C14" s="2">
        <f t="shared" ref="C14:C15" si="8">N14+N35+N56+N77+N98+N119</f>
        <v>11</v>
      </c>
      <c r="D14" s="12">
        <f>IF(SUM(AvengerAbilities3[[#This Row],[takes]]) &gt; 0,AvengerAbilities3[[#This Row],[takes]]/SUM(AvengerAbilities3[takes]),0)</f>
        <v>0.32894736842105265</v>
      </c>
      <c r="E14" s="12">
        <f>IF(AvengerAbilities3[[#This Row],[takes]]&gt;0,AvengerAbilities3[[#This Row],[wins]]/AvengerAbilities3[[#This Row],[takes]],0)</f>
        <v>0.44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22</v>
      </c>
      <c r="C15" s="1">
        <f t="shared" si="8"/>
        <v>14</v>
      </c>
      <c r="D15" s="15">
        <f>IF(SUM(AvengerAbilities3[[#This Row],[takes]]) &gt; 0,AvengerAbilities3[[#This Row],[takes]]/SUM(AvengerAbilities3[takes]),0)</f>
        <v>0.28947368421052633</v>
      </c>
      <c r="E15" s="15">
        <f>IF(AvengerAbilities3[[#This Row],[takes]]&gt;0,AvengerAbilities3[[#This Row],[wins]]/AvengerAbilities3[[#This Row],[takes]],0)</f>
        <v>0.63636363636363635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5" s="1">
        <f>COUNTIF(Scenario0[winner1-ability3],AvengerAbilities3Scenario0[[#This Row],[ability]])+COUNTIF(Scenario0[winner2-ability3],AvengerAbilities3Scenario0[[#This Row],[ability]])</f>
        <v>0</v>
      </c>
      <c r="O15" s="15">
        <f>IF(SUM(AvengerAbilities3Scenario0[[#This Row],[takes]]) &gt; 0,AvengerAbilities3Scenario0[[#This Row],[takes]]/SUM(AvengerAbilities3Scenario0[takes]),0)</f>
        <v>0</v>
      </c>
      <c r="P15" s="15">
        <f>IF(AvengerAbilities3Scenario0[[#This Row],[takes]]&gt;0,AvengerAbilities3Scenario0[[#This Row],[wins]]/AvengerAbilities3Scenario0[[#This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19</v>
      </c>
      <c r="C18" s="2">
        <f>N18+N39+N60+N81+N102+N123</f>
        <v>9</v>
      </c>
      <c r="D18" s="12">
        <f>IF(SUM(AvengerAbilities4[[#This Row],[takes]]) &gt; 0,AvengerAbilities4[[#This Row],[takes]]/SUM(AvengerAbilities4[takes]),0)</f>
        <v>0.42222222222222222</v>
      </c>
      <c r="E18" s="12">
        <f>IF(AvengerAbilities4[[#This Row],[takes]]&gt;0,AvengerAbilities4[[#This Row],[wins]]/AvengerAbilities4[[#This Row],[takes]],0)</f>
        <v>0.47368421052631576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21</v>
      </c>
      <c r="C19" s="2">
        <f t="shared" ref="C19:C20" si="10">N19+N40+N61+N82+N103+N124</f>
        <v>11</v>
      </c>
      <c r="D19" s="12">
        <f>IF(SUM(AvengerAbilities4[[#This Row],[takes]]) &gt; 0,AvengerAbilities4[[#This Row],[takes]]/SUM(AvengerAbilities4[takes]),0)</f>
        <v>0.46666666666666667</v>
      </c>
      <c r="E19" s="12">
        <f>IF(AvengerAbilities4[[#This Row],[takes]]&gt;0,AvengerAbilities4[[#This Row],[wins]]/AvengerAbilities4[[#This Row],[takes]],0)</f>
        <v>0.52380952380952384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5</v>
      </c>
      <c r="C20" s="2">
        <f t="shared" si="10"/>
        <v>3</v>
      </c>
      <c r="D20" s="26">
        <f>IF(SUM(AvengerAbilities4[[#This Row],[takes]]) &gt; 0,AvengerAbilities4[[#This Row],[takes]]/SUM(AvengerAbilities4[takes]),0)</f>
        <v>0.1111111111111111</v>
      </c>
      <c r="E20" s="26">
        <f>IF(AvengerAbilities4[[#This Row],[takes]]&gt;0,AvengerAbilities4[[#This Row],[wins]]/AvengerAbilities4[[#This Row],[takes]],0)</f>
        <v>0.6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20" s="25">
        <f>COUNTIF(Scenario0[winner1-ability4],AvengerAbilities4Scenario0[[#This Row],[ability]])+COUNTIF(Scenario0[winner2-ability4],AvengerAbilities4Scenario0[[#This Row],[ability]])</f>
        <v>0</v>
      </c>
      <c r="O20" s="26">
        <f>IF(SUM(AvengerAbilities4Scenario0[[#This Row],[takes]]) &gt; 0,AvengerAbilities4Scenario0[[#This Row],[takes]]/SUM(AvengerAbilities4Scenario0[takes]),0)</f>
        <v>0</v>
      </c>
      <c r="P20" s="26">
        <f>IF(AvengerAbilities4Scenario0[[#This Row],[takes]]&gt;0,AvengerAbilities4Scenario0[[#This Row],[wins]]/AvengerAbilities4Scenario0[[#This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4">
        <f>COUNTIF(Scenario1[winner1-ability1],AvengerAbilities1Scenario1[[#This Row],[ability]])+COUNTIF(Scenario1[winner2-ability1],AvengerAbilities1Scenario1[[#This Row],[ability]])</f>
        <v>0</v>
      </c>
      <c r="O24" s="3">
        <f>IF(SUM(AvengerAbilities1Scenario1[[#This Row],[takes]]) &gt; 0,AvengerAbilities1Scenario1[[#This Row],[takes]]/SUM(AvengerAbilities1Scenario1[takes]),0)</f>
        <v>0</v>
      </c>
      <c r="P24" s="3">
        <f>IF(AvengerAbilities1Scenario1[[#This Row],[takes]]&gt;0,AvengerAbilities1Scenario1[[#This Row],[wins]]/AvengerAbilities1Scenario1[[#This Row],[takes]],0)</f>
        <v>0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5">
        <f>COUNTIF(Scenario1[winner1-ability1],AvengerAbilities1Scenario1[[#This Row],[ability]])+COUNTIF(Scenario1[winner2-ability1],AvengerAbilities1Scenario1[[#This Row],[ability]])</f>
        <v>0</v>
      </c>
      <c r="O25" s="3">
        <f>IF(SUM(AvengerAbilities1Scenario1[[#This Row],[takes]]) &gt; 0,AvengerAbilities1Scenario1[[#This Row],[takes]]/SUM(AvengerAbilities1Scenario1[takes]),0)</f>
        <v>0</v>
      </c>
      <c r="P25" s="3">
        <f>IF(AvengerAbilities1Scenario1[[#This Row],[takes]]&gt;0,AvengerAbilities1Scenario1[[#This Row],[wins]]/AvengerAbilities1Scenario1[[#This Row],[takes]],0)</f>
        <v>0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6">
        <f>COUNTIF(Scenario1[winner1-ability1],AvengerAbilities1Scenario1[[#This Row],[ability]])+COUNTIF(Scenario1[winner2-ability1],AvengerAbilities1Scenario1[[#This Row],[ability]])</f>
        <v>0</v>
      </c>
      <c r="O26" s="3">
        <f>IF(SUM(AvengerAbilities1Scenario1[[#This Row],[takes]]) &gt; 0,AvengerAbilities1Scenario1[[#This Row],[takes]]/SUM(AvengerAbilities1Scenario1[takes]),0)</f>
        <v>0</v>
      </c>
      <c r="P26" s="3">
        <f>IF(AvengerAbilities1Scenario1[[#This Row],[takes]]&gt;0,AvengerAbilities1Scenario1[[#This Row],[wins]]/AvengerAbilities1Scenario1[[#This Row],[takes]],0)</f>
        <v>0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29" s="2">
        <f>COUNTIF(Scenario1[winner1-ability2],AvengerAbilities2Scenario1[[#This Row],[ability]])+COUNTIF(Scenario1[winner2-ability2],AvengerAbilities2Scenario1[[#This Row],[ability]])</f>
        <v>0</v>
      </c>
      <c r="O29" s="12">
        <f>IF(SUM(AvengerAbilities2Scenario1[[#This Row],[takes]]) &gt; 0,AvengerAbilities2Scenario1[[#This Row],[takes]]/SUM(AvengerAbilities2Scenario1[takes]),0)</f>
        <v>0</v>
      </c>
      <c r="P29" s="12">
        <f>IF(AvengerAbilities2Scenario1[[#This Row],[takes]]&gt;0,AvengerAbilities2Scenario1[[#This Row],[wins]]/AvengerAbilities2Scenario1[[#This Row],[takes]],0)</f>
        <v>0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0" s="2">
        <f>COUNTIF(Scenario1[winner1-ability2],AvengerAbilities2Scenario1[[#This Row],[ability]])+COUNTIF(Scenario1[winner2-ability2],AvengerAbilities2Scenario1[[#This Row],[ability]])</f>
        <v>0</v>
      </c>
      <c r="O30" s="3">
        <f>IF(SUM(AvengerAbilities2Scenario1[[#This Row],[takes]]) &gt; 0,AvengerAbilities2Scenario1[[#This Row],[takes]]/SUM(AvengerAbilities2Scenario1[takes]),0)</f>
        <v>0</v>
      </c>
      <c r="P30" s="3">
        <f>IF(AvengerAbilities2Scenario1[[#This Row],[takes]]&gt;0,AvengerAbilities2Scenario1[[#This Row],[wins]]/AvengerAbilities2Scenario1[[#This Row],[takes]],0)</f>
        <v>0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1" s="2">
        <f>COUNTIF(Scenario1[winner1-ability2],AvengerAbilities2Scenario1[[#This Row],[ability]])+COUNTIF(Scenario1[winner2-ability2],AvengerAbilities2Scenario1[[#This Row],[ability]])</f>
        <v>0</v>
      </c>
      <c r="O31" s="13">
        <f>IF(SUM(AvengerAbilities2Scenario1[[#This Row],[takes]]) &gt; 0,AvengerAbilities2Scenario1[[#This Row],[takes]]/SUM(AvengerAbilities2Scenario1[takes]),0)</f>
        <v>0</v>
      </c>
      <c r="P31" s="13">
        <f>IF(AvengerAbilities2Scenario1[[#This Row],[takes]]&gt;0,AvengerAbilities2Scenario1[[#This Row],[wins]]/AvengerAbilities2Scenario1[[#This Row],[takes]],0)</f>
        <v>0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4" s="1">
        <f>COUNTIF(Scenario1[winner1-ability3],AvengerAbilities3Scenario1[[#This Row],[ability]])+COUNTIF(Scenario1[winner2-ability3],AvengerAbilities3Scenario1[[#This Row],[ability]])</f>
        <v>0</v>
      </c>
      <c r="O34" s="14">
        <f>IF(SUM(AvengerAbilities3Scenario1[[#This Row],[takes]]) &gt; 0,AvengerAbilities3Scenario1[[#This Row],[takes]]/SUM(AvengerAbilities3Scenario1[takes]),0)</f>
        <v>0</v>
      </c>
      <c r="P34" s="14">
        <f>IF(AvengerAbilities3Scenario1[[#This Row],[takes]]&gt;0,AvengerAbilities3Scenario1[[#This Row],[wins]]/AvengerAbilities3Scenario1[[#This Row],[takes]],0)</f>
        <v>0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5" s="2">
        <f>COUNTIF(Scenario1[winner1-ability3],AvengerAbilities3Scenario1[[#This Row],[ability]])+COUNTIF(Scenario1[winner2-ability3],AvengerAbilities3Scenario1[[#This Row],[ability]])</f>
        <v>0</v>
      </c>
      <c r="O35" s="12">
        <f>IF(SUM(AvengerAbilities3Scenario1[[#This Row],[takes]]) &gt; 0,AvengerAbilities3Scenario1[[#This Row],[takes]]/SUM(AvengerAbilities3Scenario1[takes]),0)</f>
        <v>0</v>
      </c>
      <c r="P35" s="12">
        <f>IF(AvengerAbilities3Scenario1[[#This Row],[takes]]&gt;0,AvengerAbilities3Scenario1[[#This Row],[wins]]/AvengerAbilities3Scenario1[[#This Row],[takes]],0)</f>
        <v>0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6" s="1">
        <f>COUNTIF(Scenario1[winner1-ability3],AvengerAbilities3Scenario1[[#This Row],[ability]])+COUNTIF(Scenario1[winner2-ability3],AvengerAbilities3Scenario1[[#This Row],[ability]])</f>
        <v>0</v>
      </c>
      <c r="O36" s="15">
        <f>IF(SUM(AvengerAbilities3Scenario1[[#This Row],[takes]]) &gt; 0,AvengerAbilities3Scenario1[[#This Row],[takes]]/SUM(AvengerAbilities3Scenario1[takes]),0)</f>
        <v>0</v>
      </c>
      <c r="P36" s="15">
        <f>IF(AvengerAbilities3Scenario1[[#This Row],[takes]]&gt;0,AvengerAbilities3Scenario1[[#This Row],[wins]]/AvengerAbilities3Scenario1[[#This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0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1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7.1428571428571425E-2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4</v>
      </c>
      <c r="T45">
        <f>COUNTIFS(Scenario2[winner1],"avenger",Scenario2[winner1-sw],AvengerEquipScenario2[[#This Row],[level]])+COUNTIFS(Scenario2[loser1],"avenger",Scenario2[loser1-sw],AvengerEquipScenario2[[#This Row],[level]])</f>
        <v>9</v>
      </c>
      <c r="U45" s="18">
        <f>COUNTIFS(Scenario2[winner1],"avenger",Scenario2[winner1-cp],AvengerEquipScenario2[[#This Row],[level]])+COUNTIFS(Scenario2[loser1],"avenger",Scenario2[loser1-cp],AvengerEquipScenario2[[#This Row],[level]])</f>
        <v>4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4</v>
      </c>
      <c r="T46">
        <f>COUNTIFS(Scenario2[winner1],"avenger",Scenario2[winner1-sw],AvengerEquipScenario2[[#This Row],[level]])+COUNTIFS(Scenario2[loser1],"avenger",Scenario2[loser1-sw],AvengerEquipScenario2[[#This Row],[level]])</f>
        <v>3</v>
      </c>
      <c r="U46" s="18">
        <f>COUNTIFS(Scenario2[winner1],"avenger",Scenario2[winner1-cp],AvengerEquipScenario2[[#This Row],[level]])+COUNTIFS(Scenario2[loser1],"avenger",Scenario2[loser1-cp],AvengerEquipScenario2[[#This Row],[level]])</f>
        <v>9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11</v>
      </c>
      <c r="N47">
        <f>COUNTIF(Scenario2[winner1-ability1],AvengerAbilities1Scenario2[[#This Row],[ability]])</f>
        <v>9</v>
      </c>
      <c r="O47" s="3">
        <f>IF(SUM(AvengerAbilities1Scenario2[[#This Row],[takes]]) &gt; 0,AvengerAbilities1Scenario2[[#This Row],[takes]]/SUM(AvengerAbilities1Scenario2[takes]),0)</f>
        <v>0.7857142857142857</v>
      </c>
      <c r="P47" s="3">
        <f>IF(AvengerAbilities1Scenario2[[#This Row],[takes]]&gt;0,AvengerAbilities1Scenario2[[#This Row],[wins]]/AvengerAbilities1Scenario2[[#This Row],[takes]],0)</f>
        <v>0.81818181818181823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6</v>
      </c>
      <c r="T47">
        <f>COUNTIFS(Scenario2[winner1],"avenger",Scenario2[winner1-sw],AvengerEquipScenario2[[#This Row],[level]])+COUNTIFS(Scenario2[loser1],"avenger",Scenario2[loser1-sw],AvengerEquipScenario2[[#This Row],[level]])</f>
        <v>2</v>
      </c>
      <c r="U47" s="18">
        <f>COUNTIFS(Scenario2[winner1],"avenger",Scenario2[winner1-cp],AvengerEquipScenario2[[#This Row],[level]])+COUNTIFS(Scenario2[loser1],"avenger",Scenario2[loser1-cp],AvengerEquipScenario2[[#This Row],[level]])</f>
        <v>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4</v>
      </c>
      <c r="N50" s="2">
        <f>COUNTIF(Scenario2[winner1-ability2],AvengerAbilities2Scenario2[[#This Row],[ability]])</f>
        <v>1</v>
      </c>
      <c r="O50" s="12">
        <f>IF(SUM(AvengerAbilities2Scenario2[[#This Row],[takes]]) &gt; 0,AvengerAbilities2Scenario2[[#This Row],[takes]]/SUM(AvengerAbilities2Scenario2[takes]),0)</f>
        <v>0.30769230769230771</v>
      </c>
      <c r="P50" s="12">
        <f>IF(AvengerAbilities2Scenario2[[#This Row],[takes]]&gt;0,AvengerAbilities2Scenario2[[#This Row],[wins]]/AvengerAbilities2Scenario2[[#This Row],[takes]],0)</f>
        <v>0.25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2</v>
      </c>
      <c r="N51" s="2">
        <f>COUNTIF(Scenario2[winner1-ability2],AvengerAbilities2Scenario2[[#This Row],[ability]])</f>
        <v>2</v>
      </c>
      <c r="O51" s="3">
        <f>IF(SUM(AvengerAbilities2Scenario2[[#This Row],[takes]]) &gt; 0,AvengerAbilities2Scenario2[[#This Row],[takes]]/SUM(AvengerAbilities2Scenario2[takes]),0)</f>
        <v>0.15384615384615385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7</v>
      </c>
      <c r="N52" s="2">
        <f>COUNTIF(Scenario2[winner1-ability2],AvengerAbilities2Scenario2[[#This Row],[ability]])</f>
        <v>5</v>
      </c>
      <c r="O52" s="13">
        <f>IF(SUM(AvengerAbilities2Scenario2[[#This Row],[takes]]) &gt; 0,AvengerAbilities2Scenario2[[#This Row],[takes]]/SUM(AvengerAbilities2Scenario2[takes]),0)</f>
        <v>0.53846153846153844</v>
      </c>
      <c r="P52" s="13">
        <f>IF(AvengerAbilities2Scenario2[[#This Row],[takes]]&gt;0,AvengerAbilities2Scenario2[[#This Row],[wins]]/AvengerAbilities2Scenario2[[#This Row],[takes]],0)</f>
        <v>0.7142857142857143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5</v>
      </c>
      <c r="N55" s="1">
        <f>COUNTIF(Scenario2[winner1-ability3],AvengerAbilities3Scenario2[[#This Row],[ability]])</f>
        <v>3</v>
      </c>
      <c r="O55" s="14">
        <f>IF(SUM(AvengerAbilities3Scenario2[[#This Row],[takes]]) &gt; 0,AvengerAbilities3Scenario2[[#This Row],[takes]]/SUM(AvengerAbilities3Scenario2[takes]),0)</f>
        <v>0.55555555555555558</v>
      </c>
      <c r="P55" s="14">
        <f>IF(AvengerAbilities3Scenario2[[#This Row],[takes]]&gt;0,AvengerAbilities3Scenario2[[#This Row],[wins]]/AvengerAbilities3Scenario2[[#This Row],[takes]],0)</f>
        <v>0.6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0</v>
      </c>
      <c r="N56" s="2">
        <f>COUNTIF(Scenario2[winner1-ability3],AvengerAbilities3Scenario2[[#This Row],[ability]])</f>
        <v>0</v>
      </c>
      <c r="O56" s="12">
        <f>IF(SUM(AvengerAbilities3Scenario2[[#This Row],[takes]]) &gt; 0,AvengerAbilities3Scenario2[[#This Row],[takes]]/SUM(AvengerAbilities3Scenario2[takes]),0)</f>
        <v>0</v>
      </c>
      <c r="P56" s="12">
        <f>IF(AvengerAbilities3Scenario2[[#This Row],[takes]]&gt;0,AvengerAbilities3Scenario2[[#This Row],[wins]]/AvengerAbilities3Scenario2[[#This Row],[takes]],0)</f>
        <v>0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4</v>
      </c>
      <c r="N57" s="1">
        <f>COUNTIF(Scenario2[winner1-ability3],AvengerAbilities3Scenario2[[#This Row],[ability]])</f>
        <v>3</v>
      </c>
      <c r="O57" s="15">
        <f>IF(SUM(AvengerAbilities3Scenario2[[#This Row],[takes]]) &gt; 0,AvengerAbilities3Scenario2[[#This Row],[takes]]/SUM(AvengerAbilities3Scenario2[takes]),0)</f>
        <v>0.44444444444444442</v>
      </c>
      <c r="P57" s="15">
        <f>IF(AvengerAbilities3Scenario2[[#This Row],[takes]]&gt;0,AvengerAbilities3Scenario2[[#This Row],[wins]]/AvengerAbilities3Scenario2[[#This Row],[takes]],0)</f>
        <v>0.75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2</v>
      </c>
      <c r="O60" s="12">
        <f>IF(SUM(AvengerAbilities4Scenario2[[#This Row],[takes]]) &gt; 0,AvengerAbilities4Scenario2[[#This Row],[takes]]/SUM(AvengerAbilities4Scenario2[takes]),0)</f>
        <v>0.5</v>
      </c>
      <c r="P60" s="12">
        <f>IF(AvengerAbilities4Scenario2[[#This Row],[takes]]&gt;0,AvengerAbilities4Scenario2[[#This Row],[wins]]/AvengerAbilities4Scenario2[[#This Row],[takes]],0)</f>
        <v>1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2</v>
      </c>
      <c r="N61" s="2">
        <f>COUNTIF(Scenario2[winner1-ability4],AvengerAbilities4Scenario2[[#This Row],[ability]])</f>
        <v>2</v>
      </c>
      <c r="O61" s="12">
        <f>IF(SUM(AvengerAbilities4Scenario2[[#This Row],[takes]]) &gt; 0,AvengerAbilities4Scenario2[[#This Row],[takes]]/SUM(AvengerAbilities4Scenario2[takes]),0)</f>
        <v>0.5</v>
      </c>
      <c r="P61" s="12">
        <f>IF(AvengerAbilities4Scenario2[[#This Row],[takes]]&gt;0,AvengerAbilities4Scenario2[[#This Row],[wins]]/AvengerAbilities4Scenario2[[#This Row],[takes]],0)</f>
        <v>1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8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11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3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4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5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4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0.19047619047619047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9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9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13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18</v>
      </c>
      <c r="N71" s="2">
        <f>COUNTIF(Scenario3[winner1-ability2],AvengerAbilities2Scenario3[[#This Row],[ability]])</f>
        <v>2</v>
      </c>
      <c r="O71" s="12">
        <f>IF(SUM(AvengerAbilities2Scenario3[[#This Row],[takes]]) &gt; 0,AvengerAbilities2Scenario3[[#This Row],[takes]]/SUM(AvengerAbilities2Scenario3[takes]),0)</f>
        <v>0.8571428571428571</v>
      </c>
      <c r="P71" s="12">
        <f>IF(AvengerAbilities2Scenario3[[#This Row],[takes]]&gt;0,AvengerAbilities2Scenario3[[#This Row],[wins]]/AvengerAbilities2Scenario3[[#This Row],[takes]],0)</f>
        <v>0.1111111111111111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</v>
      </c>
      <c r="N72" s="2">
        <f>COUNTIF(Scenario3[winner1-ability2],AvengerAbilities2Scenario3[[#This Row],[ability]])</f>
        <v>1</v>
      </c>
      <c r="O72" s="3">
        <f>IF(SUM(AvengerAbilities2Scenario3[[#This Row],[takes]]) &gt; 0,AvengerAbilities2Scenario3[[#This Row],[takes]]/SUM(AvengerAbilities2Scenario3[takes]),0)</f>
        <v>4.7619047619047616E-2</v>
      </c>
      <c r="P72" s="3">
        <f>IF(AvengerAbilities2Scenario3[[#This Row],[takes]]&gt;0,AvengerAbilities2Scenario3[[#This Row],[wins]]/AvengerAbilities2Scenario3[[#This Row],[takes]],0)</f>
        <v>1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2</v>
      </c>
      <c r="N73" s="2">
        <f>COUNTIF(Scenario3[winner1-ability2],AvengerAbilities2Scenario3[[#This Row],[ability]])</f>
        <v>1</v>
      </c>
      <c r="O73" s="13">
        <f>IF(SUM(AvengerAbilities2Scenario3[[#This Row],[takes]]) &gt; 0,AvengerAbilities2Scenario3[[#This Row],[takes]]/SUM(AvengerAbilities2Scenario3[takes]),0)</f>
        <v>9.5238095238095233E-2</v>
      </c>
      <c r="P73" s="13">
        <f>IF(AvengerAbilities2Scenario3[[#This Row],[takes]]&gt;0,AvengerAbilities2Scenario3[[#This Row],[wins]]/AvengerAbilities2Scenario3[[#This Row],[takes]],0)</f>
        <v>0.5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7</v>
      </c>
      <c r="N76" s="1">
        <f>COUNTIF(Scenario3[winner1-ability3],AvengerAbilities3Scenario3[[#This Row],[ability]])</f>
        <v>1</v>
      </c>
      <c r="O76" s="14">
        <f>IF(SUM(AvengerAbilities3Scenario3[[#This Row],[takes]]) &gt; 0,AvengerAbilities3Scenario3[[#This Row],[takes]]/SUM(AvengerAbilities3Scenario3[takes]),0)</f>
        <v>0.41176470588235292</v>
      </c>
      <c r="P76" s="14">
        <f>IF(AvengerAbilities3Scenario3[[#This Row],[takes]]&gt;0,AvengerAbilities3Scenario3[[#This Row],[wins]]/AvengerAbilities3Scenario3[[#This Row],[takes]],0)</f>
        <v>0.14285714285714285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8</v>
      </c>
      <c r="N77" s="2">
        <f>COUNTIF(Scenario3[winner1-ability3],AvengerAbilities3Scenario3[[#This Row],[ability]])</f>
        <v>2</v>
      </c>
      <c r="O77" s="12">
        <f>IF(SUM(AvengerAbilities3Scenario3[[#This Row],[takes]]) &gt; 0,AvengerAbilities3Scenario3[[#This Row],[takes]]/SUM(AvengerAbilities3Scenario3[takes]),0)</f>
        <v>0.47058823529411764</v>
      </c>
      <c r="P77" s="12">
        <f>IF(AvengerAbilities3Scenario3[[#This Row],[takes]]&gt;0,AvengerAbilities3Scenario3[[#This Row],[wins]]/AvengerAbilities3Scenario3[[#This Row],[takes]],0)</f>
        <v>0.25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2</v>
      </c>
      <c r="N78" s="1">
        <f>COUNTIF(Scenario3[winner1-ability3],AvengerAbilities3Scenario3[[#This Row],[ability]])</f>
        <v>0</v>
      </c>
      <c r="O78" s="15">
        <f>IF(SUM(AvengerAbilities3Scenario3[[#This Row],[takes]]) &gt; 0,AvengerAbilities3Scenario3[[#This Row],[takes]]/SUM(AvengerAbilities3Scenario3[takes]),0)</f>
        <v>0.11764705882352941</v>
      </c>
      <c r="P78" s="15">
        <f>IF(AvengerAbilities3Scenario3[[#This Row],[takes]]&gt;0,AvengerAbilities3Scenario3[[#This Row],[wins]]/AvengerAbilities3Scenario3[[#This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4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0.2857142857142857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10</v>
      </c>
      <c r="N82" s="2">
        <f>COUNTIF(Scenario3[winner1-ability4],AvengerAbilities4Scenario3[[#This Row],[ability]])</f>
        <v>3</v>
      </c>
      <c r="O82" s="12">
        <f>IF(SUM(AvengerAbilities4Scenario3[[#This Row],[takes]]) &gt; 0,AvengerAbilities4Scenario3[[#This Row],[takes]]/SUM(AvengerAbilities4Scenario3[takes]),0)</f>
        <v>0.7142857142857143</v>
      </c>
      <c r="P82" s="12">
        <f>IF(AvengerAbilities4Scenario3[[#This Row],[takes]]&gt;0,AvengerAbilities4Scenario3[[#This Row],[wins]]/AvengerAbilities4Scenario3[[#This Row],[takes]],0)</f>
        <v>0.3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9">
        <f>COUNTIF(Scenario4[winner1-ability1],AvengerAbilities1Scenario4[[#This Row],[ability]])</f>
        <v>0</v>
      </c>
      <c r="O89" s="3">
        <f>IF(SUM(AvengerAbilities1Scenario4[[#This Row],[takes]]) &gt; 0,AvengerAbilities1Scenario4[[#This Row],[takes]]/SUM(AvengerAbilities1Scenario4[takes]),0)</f>
        <v>0</v>
      </c>
      <c r="P89" s="3">
        <f>IF(AvengerAbilities1Scenario4[[#This Row],[takes]]&gt;0,AvengerAbilities1Scenario4[[#This Row],[wins]]/AvengerAbilities1Scenario4[[#This Row],[takes]],0)</f>
        <v>0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2" s="2">
        <f>COUNTIF(Scenario4[winner1-ability2],AvengerAbilities2Scenario4[[#This Row],[ability]])</f>
        <v>0</v>
      </c>
      <c r="O92" s="12">
        <f>IF(SUM(AvengerAbilities2Scenario4[[#This Row],[takes]]) &gt; 0,AvengerAbilities2Scenario4[[#This Row],[takes]]/SUM(AvengerAbilities2Scenario4[takes]),0)</f>
        <v>0</v>
      </c>
      <c r="P92" s="12">
        <f>IF(AvengerAbilities2Scenario4[[#This Row],[takes]]&gt;0,AvengerAbilities2Scenario4[[#This Row],[wins]]/AvengerAbilities2Scenario4[[#This Row],[takes]],0)</f>
        <v>0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4" s="2">
        <f>COUNTIF(Scenario4[winner1-ability2],AvengerAbilities2Scenario4[[#This Row],[ability]])</f>
        <v>0</v>
      </c>
      <c r="O94" s="13">
        <f>IF(SUM(AvengerAbilities2Scenario4[[#This Row],[takes]]) &gt; 0,AvengerAbilities2Scenario4[[#This Row],[takes]]/SUM(AvengerAbilities2Scenario4[takes]),0)</f>
        <v>0</v>
      </c>
      <c r="P94" s="13">
        <f>IF(AvengerAbilities2Scenario4[[#This Row],[takes]]&gt;0,AvengerAbilities2Scenario4[[#This Row],[wins]]/AvengerAbilities2Scenario4[[#This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7" s="1">
        <f>COUNTIF(Scenario4[winner1-ability3],AvengerAbilities3Scenario4[[#This Row],[ability]])</f>
        <v>0</v>
      </c>
      <c r="O97" s="14">
        <f>IF(SUM(AvengerAbilities3Scenario4[[#This Row],[takes]]) &gt; 0,AvengerAbilities3Scenario4[[#This Row],[takes]]/SUM(AvengerAbilities3Scenario4[takes]),0)</f>
        <v>0</v>
      </c>
      <c r="P97" s="14">
        <f>IF(AvengerAbilities3Scenario4[[#This Row],[takes]]&gt;0,AvengerAbilities3Scenario4[[#This Row],[wins]]/AvengerAbilities3Scenario4[[#This Row],[takes]],0)</f>
        <v>0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8" s="2">
        <f>COUNTIF(Scenario4[winner1-ability3],AvengerAbilities3Scenario4[[#This Row],[ability]])</f>
        <v>0</v>
      </c>
      <c r="O98" s="12">
        <f>IF(SUM(AvengerAbilities3Scenario4[[#This Row],[takes]]) &gt; 0,AvengerAbilities3Scenario4[[#This Row],[takes]]/SUM(AvengerAbilities3Scenario4[takes]),0)</f>
        <v>0</v>
      </c>
      <c r="P98" s="12">
        <f>IF(AvengerAbilities3Scenario4[[#This Row],[takes]]&gt;0,AvengerAbilities3Scenario4[[#This Row],[wins]]/AvengerAbilities3Scenario4[[#This Row],[takes]],0)</f>
        <v>0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9" s="1">
        <f>COUNTIF(Scenario4[winner1-ability3],AvengerAbilities3Scenario4[[#This Row],[ability]])</f>
        <v>0</v>
      </c>
      <c r="O99" s="15">
        <f>IF(SUM(AvengerAbilities3Scenario4[[#This Row],[takes]]) &gt; 0,AvengerAbilities3Scenario4[[#This Row],[takes]]/SUM(AvengerAbilities3Scenario4[takes]),0)</f>
        <v>0</v>
      </c>
      <c r="P99" s="15">
        <f>IF(AvengerAbilities3Scenario4[[#This Row],[takes]]&gt;0,AvengerAbilities3Scenario4[[#This Row],[wins]]/AvengerAbilities3Scenario4[[#This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0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3" s="2">
        <f>COUNTIF(Scenario4[winner1-ability4],AvengerAbilities4Scenario4[[#This Row],[ability]])</f>
        <v>0</v>
      </c>
      <c r="O103" s="12">
        <f>IF(SUM(AvengerAbilities4Scenario4[[#This Row],[takes]]) &gt; 0,AvengerAbilities4Scenario4[[#This Row],[takes]]/SUM(AvengerAbilities4Scenario4[takes]),0)</f>
        <v>0</v>
      </c>
      <c r="P103" s="12">
        <f>IF(AvengerAbilities4Scenario4[[#This Row],[takes]]&gt;0,AvengerAbilities4Scenario4[[#This Row],[wins]]/AvengerAbilities4Scenario4[[#This Row],[takes]],0)</f>
        <v>0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45</v>
      </c>
      <c r="N108">
        <f>COUNTIF(Scenario5[winner1-ability1],AvengerAbilities1Scenario5[[#This Row],[ability]])+COUNTIF(Scenario5[winner2-ability1],AvengerAbilities1Scenario5[[#This Row],[ability]])</f>
        <v>19</v>
      </c>
      <c r="O108" s="3">
        <f>IF(SUM(AvengerAbilities1Scenario5[[#This Row],[takes]]) &gt; 0,AvengerAbilities1Scenario5[[#This Row],[takes]]/SUM(AvengerAbilities1Scenario5[takes]),0)</f>
        <v>0.42857142857142855</v>
      </c>
      <c r="P108" s="3">
        <f>IF(AvengerAbilities1Scenario5[[#This Row],[takes]]&gt;0,AvengerAbilities1Scenario5[[#This Row],[wins]]/AvengerAbilities1Scenario5[[#This Row],[takes]],0)</f>
        <v>0.42222222222222222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31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77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28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21</v>
      </c>
      <c r="N109">
        <f>COUNTIF(Scenario5[winner1-ability1],AvengerAbilities1Scenario5[[#This Row],[ability]])+COUNTIF(Scenario5[winner2-ability1],AvengerAbilities1Scenario5[[#This Row],[ability]])</f>
        <v>10</v>
      </c>
      <c r="O109" s="3">
        <f>IF(SUM(AvengerAbilities1Scenario5[[#This Row],[takes]]) &gt; 0,AvengerAbilities1Scenario5[[#This Row],[takes]]/SUM(AvengerAbilities1Scenario5[takes]),0)</f>
        <v>0.2</v>
      </c>
      <c r="P109" s="3">
        <f>IF(AvengerAbilities1Scenario5[[#This Row],[takes]]&gt;0,AvengerAbilities1Scenario5[[#This Row],[wins]]/AvengerAbilities1Scenario5[[#This Row],[takes]],0)</f>
        <v>0.47619047619047616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19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21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64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39</v>
      </c>
      <c r="N110">
        <f>COUNTIF(Scenario5[winner1-ability1],AvengerAbilities1Scenario5[[#This Row],[ability]])+COUNTIF(Scenario5[winner2-ability1],AvengerAbilities1Scenario5[[#This Row],[ability]])</f>
        <v>20</v>
      </c>
      <c r="O110" s="3">
        <f>IF(SUM(AvengerAbilities1Scenario5[[#This Row],[takes]]) &gt; 0,AvengerAbilities1Scenario5[[#This Row],[takes]]/SUM(AvengerAbilities1Scenario5[takes]),0)</f>
        <v>0.37142857142857144</v>
      </c>
      <c r="P110" s="3">
        <f>IF(AvengerAbilities1Scenario5[[#This Row],[takes]]&gt;0,AvengerAbilities1Scenario5[[#This Row],[wins]]/AvengerAbilities1Scenario5[[#This Row],[takes]],0)</f>
        <v>0.51282051282051277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55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13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35</v>
      </c>
      <c r="N113" s="2">
        <f>COUNTIF(Scenario5[winner1-ability2],AvengerAbilities2Scenario5[[#This Row],[ability]])+COUNTIF(Scenario5[winner2-ability2],AvengerAbilities2Scenario5[[#This Row],[ability]])</f>
        <v>18</v>
      </c>
      <c r="O113" s="12">
        <f>IF(SUM(AvengerAbilities2Scenario5[[#This Row],[takes]]) &gt; 0,AvengerAbilities2Scenario5[[#This Row],[takes]]/SUM(AvengerAbilities2Scenario5[takes]),0)</f>
        <v>0.4375</v>
      </c>
      <c r="P113" s="12">
        <f>IF(AvengerAbilities2Scenario5[[#This Row],[takes]]&gt;0,AvengerAbilities2Scenario5[[#This Row],[wins]]/AvengerAbilities2Scenario5[[#This Row],[takes]],0)</f>
        <v>0.51428571428571423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2</v>
      </c>
      <c r="N114" s="2">
        <f>COUNTIF(Scenario5[winner1-ability2],AvengerAbilities2Scenario5[[#This Row],[ability]])+COUNTIF(Scenario5[winner2-ability2],AvengerAbilities2Scenario5[[#This Row],[ability]])</f>
        <v>1</v>
      </c>
      <c r="O114" s="3">
        <f>IF(SUM(AvengerAbilities2Scenario5[[#This Row],[takes]]) &gt; 0,AvengerAbilities2Scenario5[[#This Row],[takes]]/SUM(AvengerAbilities2Scenario5[takes]),0)</f>
        <v>2.5000000000000001E-2</v>
      </c>
      <c r="P114" s="3">
        <f>IF(AvengerAbilities2Scenario5[[#This Row],[takes]]&gt;0,AvengerAbilities2Scenario5[[#This Row],[wins]]/AvengerAbilities2Scenario5[[#This Row],[takes]],0)</f>
        <v>0.5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43</v>
      </c>
      <c r="N115" s="2">
        <f>COUNTIF(Scenario5[winner1-ability2],AvengerAbilities2Scenario5[[#This Row],[ability]])+COUNTIF(Scenario5[winner2-ability2],AvengerAbilities2Scenario5[[#This Row],[ability]])</f>
        <v>25</v>
      </c>
      <c r="O115" s="13">
        <f>IF(SUM(AvengerAbilities2Scenario5[[#This Row],[takes]]) &gt; 0,AvengerAbilities2Scenario5[[#This Row],[takes]]/SUM(AvengerAbilities2Scenario5[takes]),0)</f>
        <v>0.53749999999999998</v>
      </c>
      <c r="P115" s="13">
        <f>IF(AvengerAbilities2Scenario5[[#This Row],[takes]]&gt;0,AvengerAbilities2Scenario5[[#This Row],[wins]]/AvengerAbilities2Scenario5[[#This Row],[takes]],0)</f>
        <v>0.58139534883720934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17</v>
      </c>
      <c r="N118" s="1">
        <f>COUNTIF(Scenario5[winner1-ability3],AvengerAbilities3Scenario5[[#This Row],[ability]])+COUNTIF(Scenario5[winner2-ability3],AvengerAbilities3Scenario5[[#This Row],[ability]])</f>
        <v>10</v>
      </c>
      <c r="O118" s="14">
        <f>IF(SUM(AvengerAbilities3Scenario5[[#This Row],[takes]]) &gt; 0,AvengerAbilities3Scenario5[[#This Row],[takes]]/SUM(AvengerAbilities3Scenario5[takes]),0)</f>
        <v>0.34</v>
      </c>
      <c r="P118" s="14">
        <f>IF(AvengerAbilities3Scenario5[[#This Row],[takes]]&gt;0,AvengerAbilities3Scenario5[[#This Row],[wins]]/AvengerAbilities3Scenario5[[#This Row],[takes]],0)</f>
        <v>0.58823529411764708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17</v>
      </c>
      <c r="N119" s="2">
        <f>COUNTIF(Scenario5[winner1-ability3],AvengerAbilities3Scenario5[[#This Row],[ability]])+COUNTIF(Scenario5[winner2-ability3],AvengerAbilities3Scenario5[[#This Row],[ability]])</f>
        <v>9</v>
      </c>
      <c r="O119" s="12">
        <f>IF(SUM(AvengerAbilities3Scenario5[[#This Row],[takes]]) &gt; 0,AvengerAbilities3Scenario5[[#This Row],[takes]]/SUM(AvengerAbilities3Scenario5[takes]),0)</f>
        <v>0.34</v>
      </c>
      <c r="P119" s="12">
        <f>IF(AvengerAbilities3Scenario5[[#This Row],[takes]]&gt;0,AvengerAbilities3Scenario5[[#This Row],[wins]]/AvengerAbilities3Scenario5[[#This Row],[takes]],0)</f>
        <v>0.52941176470588236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16</v>
      </c>
      <c r="N120" s="1">
        <f>COUNTIF(Scenario5[winner1-ability3],AvengerAbilities3Scenario5[[#This Row],[ability]])+COUNTIF(Scenario5[winner2-ability3],AvengerAbilities3Scenario5[[#This Row],[ability]])</f>
        <v>11</v>
      </c>
      <c r="O120" s="15">
        <f>IF(SUM(AvengerAbilities3Scenario5[[#This Row],[takes]]) &gt; 0,AvengerAbilities3Scenario5[[#This Row],[takes]]/SUM(AvengerAbilities3Scenario5[takes]),0)</f>
        <v>0.32</v>
      </c>
      <c r="P120" s="15">
        <f>IF(AvengerAbilities3Scenario5[[#This Row],[takes]]&gt;0,AvengerAbilities3Scenario5[[#This Row],[wins]]/AvengerAbilities3Scenario5[[#This Row],[takes]],0)</f>
        <v>0.6875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13</v>
      </c>
      <c r="N123" s="2">
        <f>COUNTIF(Scenario5[winner1-ability4],AvengerAbilities4Scenario5[[#This Row],[ability]])+COUNTIF(Scenario5[winner2-ability4],AvengerAbilities4Scenario5[[#This Row],[ability]])</f>
        <v>7</v>
      </c>
      <c r="O123" s="12">
        <f>IF(SUM(AvengerAbilities4Scenario5[[#This Row],[takes]]) &gt; 0,AvengerAbilities4Scenario5[[#This Row],[takes]]/SUM(AvengerAbilities4Scenario5[takes]),0)</f>
        <v>0.48148148148148145</v>
      </c>
      <c r="P123" s="12">
        <f>IF(AvengerAbilities4Scenario5[[#This Row],[takes]]&gt;0,AvengerAbilities4Scenario5[[#This Row],[wins]]/AvengerAbilities4Scenario5[[#This Row],[takes]],0)</f>
        <v>0.53846153846153844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9</v>
      </c>
      <c r="N124" s="2">
        <f>COUNTIF(Scenario5[winner1-ability4],AvengerAbilities4Scenario5[[#This Row],[ability]])+COUNTIF(Scenario5[winner2-ability4],AvengerAbilities4Scenario5[[#This Row],[ability]])</f>
        <v>6</v>
      </c>
      <c r="O124" s="12">
        <f>IF(SUM(AvengerAbilities4Scenario5[[#This Row],[takes]]) &gt; 0,AvengerAbilities4Scenario5[[#This Row],[takes]]/SUM(AvengerAbilities4Scenario5[takes]),0)</f>
        <v>0.33333333333333331</v>
      </c>
      <c r="P124" s="12">
        <f>IF(AvengerAbilities4Scenario5[[#This Row],[takes]]&gt;0,AvengerAbilities4Scenario5[[#This Row],[wins]]/AvengerAbilities4Scenario5[[#This Row],[takes]],0)</f>
        <v>0.66666666666666663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5</v>
      </c>
      <c r="N125" s="2">
        <f>COUNTIF(Scenario5[winner1-ability4],AvengerAbilities4Scenario5[[#This Row],[ability]])+COUNTIF(Scenario5[winner2-ability4],AvengerAbilities4Scenario5[[#This Row],[ability]])</f>
        <v>3</v>
      </c>
      <c r="O125" s="26">
        <f>IF(SUM(AvengerAbilities4Scenario5[[#This Row],[takes]]) &gt; 0,AvengerAbilities4Scenario5[[#This Row],[takes]]/SUM(AvengerAbilities4Scenario5[takes]),0)</f>
        <v>0.18518518518518517</v>
      </c>
      <c r="P125" s="26">
        <f>IF(AvengerAbilities4Scenario5[[#This Row],[takes]]&gt;0,AvengerAbilities4Scenario5[[#This Row],[wins]]/AvengerAbilities4Scenario5[[#This Row],[takes]],0)</f>
        <v>0.6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"/>
  <sheetViews>
    <sheetView workbookViewId="0">
      <selection activeCell="A211" sqref="A3:XFD211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229</v>
      </c>
      <c r="B2">
        <v>0</v>
      </c>
      <c r="C2" t="s">
        <v>53</v>
      </c>
      <c r="D2">
        <v>2</v>
      </c>
      <c r="E2">
        <v>1</v>
      </c>
      <c r="F2">
        <v>1</v>
      </c>
      <c r="G2" t="s">
        <v>111</v>
      </c>
      <c r="H2" t="s">
        <v>113</v>
      </c>
      <c r="K2" t="s">
        <v>56</v>
      </c>
      <c r="L2">
        <v>2</v>
      </c>
      <c r="N2">
        <v>3</v>
      </c>
      <c r="O2" t="s">
        <v>68</v>
      </c>
      <c r="S2" t="s">
        <v>48</v>
      </c>
      <c r="T2">
        <v>2</v>
      </c>
      <c r="V2">
        <v>2</v>
      </c>
      <c r="W2" t="s">
        <v>89</v>
      </c>
      <c r="AA2" t="s">
        <v>33</v>
      </c>
      <c r="AB2">
        <v>1</v>
      </c>
      <c r="AD2">
        <v>3</v>
      </c>
      <c r="AE2" t="s">
        <v>46</v>
      </c>
      <c r="AF2" t="s">
        <v>66</v>
      </c>
      <c r="AI2">
        <v>10</v>
      </c>
      <c r="AJ2">
        <v>30</v>
      </c>
    </row>
  </sheetData>
  <conditionalFormatting sqref="B1">
    <cfRule type="duplicateValues" dxfId="1805" priority="3"/>
  </conditionalFormatting>
  <conditionalFormatting sqref="B1:B1048576">
    <cfRule type="duplicateValues" dxfId="1804" priority="1"/>
  </conditionalFormatting>
  <conditionalFormatting sqref="A3:B1048576">
    <cfRule type="duplicateValues" dxfId="1803" priority="62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C20" sqref="C20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10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10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</v>
      </c>
      <c r="M3" s="3">
        <f>IF(ScenarioTeams1[[#This Row],[battles]],ScenarioTeams1[[#This Row],[wins]]/ScenarioTeams1[[#This Row],[battles]],0)</f>
        <v>1</v>
      </c>
      <c r="O3" s="4" t="s">
        <v>159</v>
      </c>
      <c r="P3" s="30">
        <f>MAX(Scenario1[crystals])</f>
        <v>10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0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4" s="3">
        <f>IF(ScenarioTeams1[[#This Row],[battles]],ScenarioTeams1[[#This Row],[wins]]/ScenarioTeams1[[#This Row],[battles]],0)</f>
        <v>0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0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5" s="3">
        <f>IF(ScenarioTeams1[[#This Row],[battles]],ScenarioTeams1[[#This Row],[wins]]/ScenarioTeams1[[#This Row],[battles]],0)</f>
        <v>0</v>
      </c>
      <c r="O5" s="4" t="s">
        <v>158</v>
      </c>
      <c r="P5" s="30">
        <f>MIN(Scenario1[turns])</f>
        <v>30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0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6" s="3">
        <f>IF(ScenarioTeams1[[#This Row],[battles]],ScenarioTeams1[[#This Row],[wins]]/ScenarioTeams1[[#This Row],[battles]],0)</f>
        <v>0</v>
      </c>
      <c r="O6" s="5" t="s">
        <v>108</v>
      </c>
      <c r="P6" s="31">
        <f>AVERAGE(Scenario1[turns])</f>
        <v>30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0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7" s="3">
        <f>IF(ScenarioTeams1[[#This Row],[battles]],ScenarioTeams1[[#This Row],[wins]]/ScenarioTeams1[[#This Row],[battles]],0)</f>
        <v>0</v>
      </c>
      <c r="O7" s="5" t="s">
        <v>160</v>
      </c>
      <c r="P7" s="31">
        <f>MAX(Scenario1[turns])</f>
        <v>30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0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8" s="3">
        <f>IF(ScenarioTeams1[[#This Row],[battles]],ScenarioTeams1[[#This Row],[wins]]/ScenarioTeams1[[#This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0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9" s="3">
        <f>IF(ScenarioTeams1[[#This Row],[battles]],ScenarioTeams1[[#This Row],[wins]]/ScenarioTeams1[[#This Row],[battles]],0)</f>
        <v>0</v>
      </c>
      <c r="O9" s="4" t="s">
        <v>185</v>
      </c>
      <c r="P9" s="30">
        <f>120000*$P$6/1000/60</f>
        <v>60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0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0" s="3">
        <f>IF(ScenarioTeams1[[#This Row],[battles]],ScenarioTeams1[[#This Row],[wins]]/ScenarioTeams1[[#This Row],[battles]],0)</f>
        <v>0</v>
      </c>
      <c r="O10" s="5" t="s">
        <v>186</v>
      </c>
      <c r="P10" s="31">
        <f>P9*COUNTA(ScenarioStat1[hero-1])/60/24</f>
        <v>8.75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0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1" s="3">
        <f>IF(ScenarioTeams1[[#This Row],[battles]],ScenarioTeams1[[#This Row],[wins]]/ScenarioTeams1[[#This Row],[battles]],0)</f>
        <v>0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0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2" s="3">
        <f>IF(ScenarioTeams1[[#This Row],[battles]],ScenarioTeams1[[#This Row],[wins]]/ScenarioTeams1[[#This Row],[battles]],0)</f>
        <v>0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0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3" s="3">
        <f>IF(ScenarioTeams1[[#This Row],[battles]],ScenarioTeams1[[#This Row],[wins]]/ScenarioTeams1[[#This Row],[battles]],0)</f>
        <v>0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0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4" s="3">
        <f>IF(ScenarioTeams1[[#This Row],[battles]],ScenarioTeams1[[#This Row],[wins]]/ScenarioTeams1[[#This Row],[battles]],0)</f>
        <v>0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0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5" s="3">
        <f>IF(ScenarioTeams1[[#This Row],[battles]],ScenarioTeams1[[#This Row],[wins]]/ScenarioTeams1[[#This Row],[battles]],0)</f>
        <v>0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0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6" s="3">
        <f>IF(ScenarioTeams1[[#This Row],[battles]],ScenarioTeams1[[#This Row],[wins]]/ScenarioTeams1[[#This Row],[battles]],0)</f>
        <v>0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0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7" s="3">
        <f>IF(ScenarioTeams1[[#This Row],[battles]],ScenarioTeams1[[#This Row],[wins]]/ScenarioTeams1[[#This Row],[battles]],0)</f>
        <v>0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0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8" s="3">
        <f>IF(ScenarioTeams1[[#This Row],[battles]],ScenarioTeams1[[#This Row],[wins]]/ScenarioTeams1[[#This Row],[battles]],0)</f>
        <v>0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0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9" s="3">
        <f>IF(ScenarioTeams1[[#This Row],[battles]],ScenarioTeams1[[#This Row],[wins]]/ScenarioTeams1[[#This Row],[battles]],0)</f>
        <v>0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0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0" s="3">
        <f>IF(ScenarioTeams1[[#This Row],[battles]],ScenarioTeams1[[#This Row],[wins]]/ScenarioTeams1[[#This Row],[battles]],0)</f>
        <v>0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0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1" s="3">
        <f>IF(ScenarioTeams1[[#This Row],[battles]],ScenarioTeams1[[#This Row],[wins]]/ScenarioTeams1[[#This Row],[battles]],0)</f>
        <v>0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0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2" s="3">
        <f>IF(ScenarioTeams1[[#This Row],[battles]],ScenarioTeams1[[#This Row],[wins]]/ScenarioTeams1[[#This Row],[battles]],0)</f>
        <v>0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0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3" s="3">
        <f>IF(ScenarioTeams1[[#This Row],[battles]],ScenarioTeams1[[#This Row],[wins]]/ScenarioTeams1[[#This Row],[battles]],0)</f>
        <v>0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0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4" s="3">
        <f>IF(ScenarioTeams1[[#This Row],[battles]],ScenarioTeams1[[#This Row],[wins]]/ScenarioTeams1[[#This Row],[battles]],0)</f>
        <v>0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0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5" s="3">
        <f>IF(ScenarioTeams1[[#This Row],[battles]],ScenarioTeams1[[#This Row],[wins]]/ScenarioTeams1[[#This Row],[battles]],0)</f>
        <v>0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0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6" s="3">
        <f>IF(ScenarioTeams1[[#This Row],[battles]],ScenarioTeams1[[#This Row],[wins]]/ScenarioTeams1[[#This Row],[battles]],0)</f>
        <v>0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0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7" s="3">
        <f>IF(ScenarioTeams1[[#This Row],[battles]],ScenarioTeams1[[#This Row],[wins]]/ScenarioTeams1[[#This Row],[battles]],0)</f>
        <v>0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0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8" s="3">
        <f>IF(ScenarioTeams1[[#This Row],[battles]],ScenarioTeams1[[#This Row],[wins]]/ScenarioTeams1[[#This Row],[battles]],0)</f>
        <v>0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0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9" s="3">
        <f>IF(ScenarioTeams1[[#This Row],[battles]],ScenarioTeams1[[#This Row],[wins]]/ScenarioTeams1[[#This Row],[battles]],0)</f>
        <v>0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0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0" s="3">
        <f>IF(ScenarioTeams1[[#This Row],[battles]],ScenarioTeams1[[#This Row],[wins]]/ScenarioTeams1[[#This Row],[battles]],0)</f>
        <v>0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0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0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0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0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0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0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0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0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0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0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0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0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0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0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0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0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0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0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0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0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0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0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0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0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0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0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0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0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0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0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0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0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0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0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0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0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0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0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0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0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0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0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0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0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0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6">
        <f>ScenarioStat1[[#This Row],[team-1-win]]+ScenarioStat1[[#This Row],[team-2-win]]</f>
        <v>0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0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0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9">
        <f>ScenarioStat1[[#This Row],[team-1-win]]+ScenarioStat1[[#This Row],[team-2-win]]</f>
        <v>0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0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0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0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3">
        <f>ScenarioStat1[[#This Row],[team-1-win]]+ScenarioStat1[[#This Row],[team-2-win]]</f>
        <v>0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0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0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0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0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8">
        <f>ScenarioStat1[[#This Row],[team-1-win]]+ScenarioStat1[[#This Row],[team-2-win]]</f>
        <v>0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9">
        <f>ScenarioStat1[[#This Row],[team-1-win]]+ScenarioStat1[[#This Row],[team-2-win]]</f>
        <v>0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0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0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0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0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4">
        <f>ScenarioStat1[[#This Row],[team-1-win]]+ScenarioStat1[[#This Row],[team-2-win]]</f>
        <v>0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0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0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0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0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0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0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0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0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0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4">
        <f>ScenarioStat1[[#This Row],[team-1-win]]+ScenarioStat1[[#This Row],[team-2-win]]</f>
        <v>0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0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0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0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0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9">
        <f>ScenarioStat1[[#This Row],[team-1-win]]+ScenarioStat1[[#This Row],[team-2-win]]</f>
        <v>0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0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0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0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0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0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0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0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0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0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0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0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0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2">
        <f>ScenarioStat1[[#This Row],[team-1-win]]+ScenarioStat1[[#This Row],[team-2-win]]</f>
        <v>0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3">
        <f>ScenarioStat1[[#This Row],[team-1-win]]+ScenarioStat1[[#This Row],[team-2-win]]</f>
        <v>0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4">
        <f>ScenarioStat1[[#This Row],[team-1-win]]+ScenarioStat1[[#This Row],[team-2-win]]</f>
        <v>0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0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0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0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0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0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0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0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0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0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0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0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6">
        <f>ScenarioStat1[[#This Row],[team-1-win]]+ScenarioStat1[[#This Row],[team-2-win]]</f>
        <v>0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0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0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0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0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0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0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0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0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0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0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0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8">
        <f>ScenarioStat1[[#This Row],[team-1-win]]+ScenarioStat1[[#This Row],[team-2-win]]</f>
        <v>0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0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0">
        <f>ScenarioStat1[[#This Row],[team-1-win]]+ScenarioStat1[[#This Row],[team-2-win]]</f>
        <v>0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0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0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0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0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0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0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0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0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0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0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0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0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0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0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0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0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0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0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9">
        <f>ScenarioStat1[[#This Row],[team-1-win]]+ScenarioStat1[[#This Row],[team-2-win]]</f>
        <v>0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0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1">
        <f>ScenarioStat1[[#This Row],[team-1-win]]+ScenarioStat1[[#This Row],[team-2-win]]</f>
        <v>0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0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0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0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0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0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0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0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0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0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0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0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0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0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0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0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0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0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9">
        <f>ScenarioStat1[[#This Row],[team-1-win]]+ScenarioStat1[[#This Row],[team-2-win]]</f>
        <v>0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0">
        <f>ScenarioStat1[[#This Row],[team-1-win]]+ScenarioStat1[[#This Row],[team-2-win]]</f>
        <v>0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1">
        <f>ScenarioStat1[[#This Row],[team-1-win]]+ScenarioStat1[[#This Row],[team-2-win]]</f>
        <v>0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0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0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0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0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0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0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8">
        <f>ScenarioStat1[[#This Row],[team-1-win]]+ScenarioStat1[[#This Row],[team-2-win]]</f>
        <v>0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0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0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0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0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0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0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0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6">
        <f>ScenarioStat1[[#This Row],[team-1-win]]+ScenarioStat1[[#This Row],[team-2-win]]</f>
        <v>0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0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0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0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0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1">
        <f>ScenarioStat1[[#This Row],[team-1-win]]+ScenarioStat1[[#This Row],[team-2-win]]</f>
        <v>0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0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9"/>
  <sheetViews>
    <sheetView topLeftCell="A40" workbookViewId="0">
      <selection activeCell="K63" sqref="K63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230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121</v>
      </c>
      <c r="I2" t="s">
        <v>123</v>
      </c>
      <c r="J2" t="s">
        <v>124</v>
      </c>
      <c r="K2" t="s">
        <v>53</v>
      </c>
      <c r="L2">
        <v>1</v>
      </c>
      <c r="M2">
        <v>2</v>
      </c>
      <c r="N2">
        <v>3</v>
      </c>
      <c r="O2" t="s">
        <v>112</v>
      </c>
      <c r="P2" t="s">
        <v>55</v>
      </c>
      <c r="Q2" t="s">
        <v>97</v>
      </c>
      <c r="R2" t="s">
        <v>115</v>
      </c>
      <c r="S2">
        <v>0</v>
      </c>
      <c r="T2">
        <v>14</v>
      </c>
    </row>
    <row r="3" spans="1:20" x14ac:dyDescent="0.25">
      <c r="A3" t="s">
        <v>231</v>
      </c>
      <c r="B3">
        <v>1</v>
      </c>
      <c r="C3" t="s">
        <v>53</v>
      </c>
      <c r="D3">
        <v>2</v>
      </c>
      <c r="E3">
        <v>1</v>
      </c>
      <c r="F3">
        <v>2</v>
      </c>
      <c r="G3" t="s">
        <v>112</v>
      </c>
      <c r="H3" t="s">
        <v>55</v>
      </c>
      <c r="I3" t="s">
        <v>105</v>
      </c>
      <c r="J3" t="s">
        <v>98</v>
      </c>
      <c r="K3" t="s">
        <v>48</v>
      </c>
      <c r="L3">
        <v>2</v>
      </c>
      <c r="N3">
        <v>1</v>
      </c>
      <c r="O3" t="s">
        <v>49</v>
      </c>
      <c r="P3" t="s">
        <v>71</v>
      </c>
      <c r="Q3" t="s">
        <v>127</v>
      </c>
      <c r="R3" t="s">
        <v>128</v>
      </c>
      <c r="S3">
        <v>0</v>
      </c>
      <c r="T3">
        <v>11</v>
      </c>
    </row>
    <row r="4" spans="1:20" x14ac:dyDescent="0.25">
      <c r="A4" t="s">
        <v>232</v>
      </c>
      <c r="B4">
        <v>2</v>
      </c>
      <c r="C4" t="s">
        <v>33</v>
      </c>
      <c r="D4">
        <v>1</v>
      </c>
      <c r="F4">
        <v>1</v>
      </c>
      <c r="G4" t="s">
        <v>65</v>
      </c>
      <c r="H4" t="s">
        <v>130</v>
      </c>
      <c r="I4" t="s">
        <v>36</v>
      </c>
      <c r="J4" t="s">
        <v>134</v>
      </c>
      <c r="K4" t="s">
        <v>53</v>
      </c>
      <c r="L4">
        <v>1</v>
      </c>
      <c r="M4">
        <v>2</v>
      </c>
      <c r="N4">
        <v>1</v>
      </c>
      <c r="O4" t="s">
        <v>112</v>
      </c>
      <c r="P4" t="s">
        <v>83</v>
      </c>
      <c r="Q4" t="s">
        <v>97</v>
      </c>
      <c r="S4">
        <v>0</v>
      </c>
      <c r="T4">
        <v>9</v>
      </c>
    </row>
    <row r="5" spans="1:20" x14ac:dyDescent="0.25">
      <c r="A5" t="s">
        <v>233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55</v>
      </c>
      <c r="I5" t="s">
        <v>97</v>
      </c>
      <c r="J5" t="s">
        <v>115</v>
      </c>
      <c r="K5" t="s">
        <v>43</v>
      </c>
      <c r="L5">
        <v>3</v>
      </c>
      <c r="N5">
        <v>3</v>
      </c>
      <c r="O5" t="s">
        <v>135</v>
      </c>
      <c r="P5" t="s">
        <v>74</v>
      </c>
      <c r="Q5" t="s">
        <v>137</v>
      </c>
      <c r="R5" t="s">
        <v>139</v>
      </c>
      <c r="S5">
        <v>0</v>
      </c>
      <c r="T5">
        <v>26</v>
      </c>
    </row>
    <row r="6" spans="1:20" x14ac:dyDescent="0.25">
      <c r="A6" t="s">
        <v>234</v>
      </c>
      <c r="B6">
        <v>4</v>
      </c>
      <c r="C6" t="s">
        <v>53</v>
      </c>
      <c r="D6">
        <v>1</v>
      </c>
      <c r="E6">
        <v>2</v>
      </c>
      <c r="F6">
        <v>1</v>
      </c>
      <c r="G6" t="s">
        <v>112</v>
      </c>
      <c r="H6" t="s">
        <v>55</v>
      </c>
      <c r="I6" t="s">
        <v>97</v>
      </c>
      <c r="J6" t="s">
        <v>115</v>
      </c>
      <c r="K6" t="s">
        <v>45</v>
      </c>
      <c r="L6">
        <v>3</v>
      </c>
      <c r="N6">
        <v>1</v>
      </c>
      <c r="O6" t="s">
        <v>86</v>
      </c>
      <c r="P6" t="s">
        <v>76</v>
      </c>
      <c r="Q6" t="s">
        <v>93</v>
      </c>
      <c r="S6">
        <v>0</v>
      </c>
      <c r="T6">
        <v>12</v>
      </c>
    </row>
    <row r="7" spans="1:20" x14ac:dyDescent="0.25">
      <c r="A7" t="s">
        <v>235</v>
      </c>
      <c r="B7">
        <v>5</v>
      </c>
      <c r="C7" t="s">
        <v>63</v>
      </c>
      <c r="D7">
        <v>2</v>
      </c>
      <c r="F7">
        <v>1</v>
      </c>
      <c r="G7" t="s">
        <v>103</v>
      </c>
      <c r="H7" t="s">
        <v>95</v>
      </c>
      <c r="I7" t="s">
        <v>147</v>
      </c>
      <c r="K7" t="s">
        <v>53</v>
      </c>
      <c r="L7">
        <v>1</v>
      </c>
      <c r="M7">
        <v>1</v>
      </c>
      <c r="N7">
        <v>1</v>
      </c>
      <c r="O7" t="s">
        <v>111</v>
      </c>
      <c r="P7" t="s">
        <v>83</v>
      </c>
      <c r="Q7" t="s">
        <v>97</v>
      </c>
      <c r="R7" t="s">
        <v>98</v>
      </c>
      <c r="S7">
        <v>0</v>
      </c>
      <c r="T7">
        <v>8</v>
      </c>
    </row>
    <row r="8" spans="1:20" x14ac:dyDescent="0.25">
      <c r="A8" t="s">
        <v>236</v>
      </c>
      <c r="B8">
        <v>6</v>
      </c>
      <c r="C8" t="s">
        <v>53</v>
      </c>
      <c r="D8">
        <v>2</v>
      </c>
      <c r="E8">
        <v>1</v>
      </c>
      <c r="F8">
        <v>1</v>
      </c>
      <c r="G8" t="s">
        <v>112</v>
      </c>
      <c r="H8" t="s">
        <v>83</v>
      </c>
      <c r="I8" t="s">
        <v>114</v>
      </c>
      <c r="J8" t="s">
        <v>98</v>
      </c>
      <c r="K8" t="s">
        <v>38</v>
      </c>
      <c r="L8">
        <v>3</v>
      </c>
      <c r="M8">
        <v>2</v>
      </c>
      <c r="N8">
        <v>1</v>
      </c>
      <c r="O8" t="s">
        <v>152</v>
      </c>
      <c r="P8" t="s">
        <v>40</v>
      </c>
      <c r="Q8" t="s">
        <v>41</v>
      </c>
      <c r="S8">
        <v>0</v>
      </c>
      <c r="T8">
        <v>12</v>
      </c>
    </row>
    <row r="9" spans="1:20" x14ac:dyDescent="0.25">
      <c r="A9" t="s">
        <v>237</v>
      </c>
      <c r="B9">
        <v>7</v>
      </c>
      <c r="C9" t="s">
        <v>56</v>
      </c>
      <c r="D9">
        <v>3</v>
      </c>
      <c r="F9">
        <v>1</v>
      </c>
      <c r="G9" t="s">
        <v>120</v>
      </c>
      <c r="H9" t="s">
        <v>121</v>
      </c>
      <c r="I9" t="s">
        <v>123</v>
      </c>
      <c r="K9" t="s">
        <v>48</v>
      </c>
      <c r="L9">
        <v>2</v>
      </c>
      <c r="N9">
        <v>1</v>
      </c>
      <c r="O9" t="s">
        <v>49</v>
      </c>
      <c r="P9" t="s">
        <v>50</v>
      </c>
      <c r="Q9" t="s">
        <v>51</v>
      </c>
      <c r="R9" t="s">
        <v>129</v>
      </c>
      <c r="S9">
        <v>0</v>
      </c>
      <c r="T9">
        <v>10</v>
      </c>
    </row>
    <row r="10" spans="1:20" x14ac:dyDescent="0.25">
      <c r="A10" t="s">
        <v>238</v>
      </c>
      <c r="B10">
        <v>8</v>
      </c>
      <c r="C10" t="s">
        <v>33</v>
      </c>
      <c r="D10">
        <v>2</v>
      </c>
      <c r="F10">
        <v>2</v>
      </c>
      <c r="G10" t="s">
        <v>65</v>
      </c>
      <c r="H10" t="s">
        <v>130</v>
      </c>
      <c r="I10" t="s">
        <v>36</v>
      </c>
      <c r="K10" t="s">
        <v>56</v>
      </c>
      <c r="L10">
        <v>2</v>
      </c>
      <c r="N10">
        <v>2</v>
      </c>
      <c r="O10" t="s">
        <v>120</v>
      </c>
      <c r="P10" t="s">
        <v>121</v>
      </c>
      <c r="S10">
        <v>0</v>
      </c>
      <c r="T10">
        <v>9</v>
      </c>
    </row>
    <row r="11" spans="1:20" x14ac:dyDescent="0.25">
      <c r="A11" t="s">
        <v>239</v>
      </c>
      <c r="B11">
        <v>9</v>
      </c>
      <c r="C11" t="s">
        <v>43</v>
      </c>
      <c r="D11">
        <v>3</v>
      </c>
      <c r="F11">
        <v>2</v>
      </c>
      <c r="G11" t="s">
        <v>135</v>
      </c>
      <c r="H11" t="s">
        <v>74</v>
      </c>
      <c r="K11" t="s">
        <v>56</v>
      </c>
      <c r="L11">
        <v>2</v>
      </c>
      <c r="N11">
        <v>1</v>
      </c>
      <c r="O11" t="s">
        <v>120</v>
      </c>
      <c r="P11" t="s">
        <v>121</v>
      </c>
      <c r="Q11" t="s">
        <v>87</v>
      </c>
      <c r="S11">
        <v>0</v>
      </c>
      <c r="T11">
        <v>9</v>
      </c>
    </row>
    <row r="12" spans="1:20" x14ac:dyDescent="0.25">
      <c r="A12" t="s">
        <v>240</v>
      </c>
      <c r="B12">
        <v>10</v>
      </c>
      <c r="C12" t="s">
        <v>45</v>
      </c>
      <c r="D12">
        <v>3</v>
      </c>
      <c r="F12">
        <v>1</v>
      </c>
      <c r="G12" t="s">
        <v>140</v>
      </c>
      <c r="H12" t="s">
        <v>76</v>
      </c>
      <c r="K12" t="s">
        <v>56</v>
      </c>
      <c r="L12">
        <v>2</v>
      </c>
      <c r="N12">
        <v>1</v>
      </c>
      <c r="O12" t="s">
        <v>68</v>
      </c>
      <c r="P12" t="s">
        <v>121</v>
      </c>
      <c r="S12">
        <v>0</v>
      </c>
      <c r="T12">
        <v>7</v>
      </c>
    </row>
    <row r="13" spans="1:20" x14ac:dyDescent="0.25">
      <c r="A13" t="s">
        <v>241</v>
      </c>
      <c r="B13">
        <v>11</v>
      </c>
      <c r="C13" t="s">
        <v>56</v>
      </c>
      <c r="D13">
        <v>3</v>
      </c>
      <c r="F13">
        <v>1</v>
      </c>
      <c r="G13" t="s">
        <v>57</v>
      </c>
      <c r="H13" t="s">
        <v>122</v>
      </c>
      <c r="I13" t="s">
        <v>123</v>
      </c>
      <c r="J13" t="s">
        <v>124</v>
      </c>
      <c r="K13" t="s">
        <v>63</v>
      </c>
      <c r="L13">
        <v>2</v>
      </c>
      <c r="N13">
        <v>1</v>
      </c>
      <c r="O13" t="s">
        <v>103</v>
      </c>
      <c r="P13" t="s">
        <v>146</v>
      </c>
      <c r="Q13" t="s">
        <v>147</v>
      </c>
      <c r="R13" t="s">
        <v>150</v>
      </c>
      <c r="S13">
        <v>0</v>
      </c>
      <c r="T13">
        <v>11</v>
      </c>
    </row>
    <row r="14" spans="1:20" x14ac:dyDescent="0.25">
      <c r="A14" t="s">
        <v>242</v>
      </c>
      <c r="B14">
        <v>12</v>
      </c>
      <c r="C14" t="s">
        <v>38</v>
      </c>
      <c r="D14">
        <v>2</v>
      </c>
      <c r="E14">
        <v>3</v>
      </c>
      <c r="F14">
        <v>2</v>
      </c>
      <c r="G14" t="s">
        <v>39</v>
      </c>
      <c r="H14" t="s">
        <v>96</v>
      </c>
      <c r="I14" t="s">
        <v>154</v>
      </c>
      <c r="J14" t="s">
        <v>156</v>
      </c>
      <c r="K14" t="s">
        <v>56</v>
      </c>
      <c r="L14">
        <v>3</v>
      </c>
      <c r="N14">
        <v>2</v>
      </c>
      <c r="O14" t="s">
        <v>57</v>
      </c>
      <c r="P14" t="s">
        <v>121</v>
      </c>
      <c r="Q14" t="s">
        <v>85</v>
      </c>
      <c r="R14" t="s">
        <v>125</v>
      </c>
      <c r="S14">
        <v>0</v>
      </c>
      <c r="T14">
        <v>15</v>
      </c>
    </row>
    <row r="15" spans="1:20" x14ac:dyDescent="0.25">
      <c r="A15" t="s">
        <v>243</v>
      </c>
      <c r="B15">
        <v>13</v>
      </c>
      <c r="C15" t="s">
        <v>33</v>
      </c>
      <c r="D15">
        <v>2</v>
      </c>
      <c r="F15">
        <v>2</v>
      </c>
      <c r="G15" t="s">
        <v>65</v>
      </c>
      <c r="H15" t="s">
        <v>35</v>
      </c>
      <c r="K15" t="s">
        <v>48</v>
      </c>
      <c r="L15">
        <v>2</v>
      </c>
      <c r="N15">
        <v>1</v>
      </c>
      <c r="O15" t="s">
        <v>89</v>
      </c>
      <c r="P15" t="s">
        <v>50</v>
      </c>
      <c r="S15">
        <v>0</v>
      </c>
      <c r="T15">
        <v>7</v>
      </c>
    </row>
    <row r="16" spans="1:20" x14ac:dyDescent="0.25">
      <c r="A16" t="s">
        <v>244</v>
      </c>
      <c r="B16">
        <v>14</v>
      </c>
      <c r="C16" t="s">
        <v>43</v>
      </c>
      <c r="D16">
        <v>3</v>
      </c>
      <c r="F16">
        <v>3</v>
      </c>
      <c r="G16" t="s">
        <v>44</v>
      </c>
      <c r="K16" t="s">
        <v>48</v>
      </c>
      <c r="L16">
        <v>1</v>
      </c>
      <c r="N16">
        <v>1</v>
      </c>
      <c r="O16" t="s">
        <v>126</v>
      </c>
      <c r="P16" t="s">
        <v>71</v>
      </c>
      <c r="Q16" t="s">
        <v>90</v>
      </c>
      <c r="R16" t="s">
        <v>128</v>
      </c>
      <c r="S16">
        <v>0</v>
      </c>
      <c r="T16">
        <v>9</v>
      </c>
    </row>
    <row r="17" spans="1:20" x14ac:dyDescent="0.25">
      <c r="A17" t="s">
        <v>245</v>
      </c>
      <c r="B17">
        <v>15</v>
      </c>
      <c r="C17" t="s">
        <v>48</v>
      </c>
      <c r="D17">
        <v>1</v>
      </c>
      <c r="F17">
        <v>3</v>
      </c>
      <c r="G17" t="s">
        <v>126</v>
      </c>
      <c r="H17" t="s">
        <v>71</v>
      </c>
      <c r="I17" t="s">
        <v>90</v>
      </c>
      <c r="J17" t="s">
        <v>128</v>
      </c>
      <c r="K17" t="s">
        <v>45</v>
      </c>
      <c r="L17">
        <v>3</v>
      </c>
      <c r="N17">
        <v>1</v>
      </c>
      <c r="O17" t="s">
        <v>86</v>
      </c>
      <c r="P17" t="s">
        <v>141</v>
      </c>
      <c r="Q17" t="s">
        <v>93</v>
      </c>
      <c r="R17" t="s">
        <v>143</v>
      </c>
      <c r="S17">
        <v>0</v>
      </c>
      <c r="T17">
        <v>12</v>
      </c>
    </row>
    <row r="18" spans="1:20" x14ac:dyDescent="0.25">
      <c r="A18" t="s">
        <v>246</v>
      </c>
      <c r="B18">
        <v>16</v>
      </c>
      <c r="C18" t="s">
        <v>63</v>
      </c>
      <c r="D18">
        <v>3</v>
      </c>
      <c r="F18">
        <v>2</v>
      </c>
      <c r="G18" t="s">
        <v>72</v>
      </c>
      <c r="H18" t="s">
        <v>95</v>
      </c>
      <c r="I18" t="s">
        <v>104</v>
      </c>
      <c r="J18" t="s">
        <v>151</v>
      </c>
      <c r="K18" t="s">
        <v>48</v>
      </c>
      <c r="L18">
        <v>3</v>
      </c>
      <c r="N18">
        <v>3</v>
      </c>
      <c r="O18" t="s">
        <v>89</v>
      </c>
      <c r="P18" t="s">
        <v>50</v>
      </c>
      <c r="Q18" t="s">
        <v>51</v>
      </c>
      <c r="R18" t="s">
        <v>52</v>
      </c>
      <c r="S18">
        <v>0</v>
      </c>
      <c r="T18">
        <v>16</v>
      </c>
    </row>
    <row r="19" spans="1:20" x14ac:dyDescent="0.25">
      <c r="A19" t="s">
        <v>247</v>
      </c>
      <c r="B19">
        <v>17</v>
      </c>
      <c r="C19" t="s">
        <v>38</v>
      </c>
      <c r="D19">
        <v>3</v>
      </c>
      <c r="E19">
        <v>1</v>
      </c>
      <c r="F19">
        <v>2</v>
      </c>
      <c r="G19" t="s">
        <v>39</v>
      </c>
      <c r="K19" t="s">
        <v>48</v>
      </c>
      <c r="L19">
        <v>2</v>
      </c>
      <c r="N19">
        <v>1</v>
      </c>
      <c r="O19" t="s">
        <v>89</v>
      </c>
      <c r="P19" t="s">
        <v>84</v>
      </c>
      <c r="S19">
        <v>0</v>
      </c>
      <c r="T19">
        <v>7</v>
      </c>
    </row>
    <row r="20" spans="1:20" x14ac:dyDescent="0.25">
      <c r="A20" t="s">
        <v>248</v>
      </c>
      <c r="B20">
        <v>18</v>
      </c>
      <c r="C20" t="s">
        <v>33</v>
      </c>
      <c r="D20">
        <v>3</v>
      </c>
      <c r="F20">
        <v>2</v>
      </c>
      <c r="G20" t="s">
        <v>65</v>
      </c>
      <c r="K20" t="s">
        <v>43</v>
      </c>
      <c r="L20">
        <v>3</v>
      </c>
      <c r="N20">
        <v>1</v>
      </c>
      <c r="O20" t="s">
        <v>44</v>
      </c>
      <c r="P20" t="s">
        <v>136</v>
      </c>
      <c r="S20">
        <v>0</v>
      </c>
      <c r="T20">
        <v>9</v>
      </c>
    </row>
    <row r="21" spans="1:20" x14ac:dyDescent="0.25">
      <c r="A21" t="s">
        <v>249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92</v>
      </c>
      <c r="K21" t="s">
        <v>33</v>
      </c>
      <c r="L21">
        <v>1</v>
      </c>
      <c r="N21">
        <v>3</v>
      </c>
      <c r="O21" t="s">
        <v>65</v>
      </c>
      <c r="P21" t="s">
        <v>35</v>
      </c>
      <c r="S21">
        <v>0</v>
      </c>
      <c r="T21">
        <v>8</v>
      </c>
    </row>
    <row r="22" spans="1:20" x14ac:dyDescent="0.25">
      <c r="A22" t="s">
        <v>250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66</v>
      </c>
      <c r="I22" t="s">
        <v>36</v>
      </c>
      <c r="K22" t="s">
        <v>63</v>
      </c>
      <c r="L22">
        <v>2</v>
      </c>
      <c r="N22">
        <v>1</v>
      </c>
      <c r="O22" t="s">
        <v>72</v>
      </c>
      <c r="P22" t="s">
        <v>95</v>
      </c>
      <c r="S22">
        <v>0</v>
      </c>
      <c r="T22">
        <v>7</v>
      </c>
    </row>
    <row r="23" spans="1:20" x14ac:dyDescent="0.25">
      <c r="A23" t="s">
        <v>251</v>
      </c>
      <c r="B23">
        <v>21</v>
      </c>
      <c r="C23" t="s">
        <v>33</v>
      </c>
      <c r="D23">
        <v>1</v>
      </c>
      <c r="F23">
        <v>1</v>
      </c>
      <c r="G23" t="s">
        <v>65</v>
      </c>
      <c r="H23" t="s">
        <v>66</v>
      </c>
      <c r="I23" t="s">
        <v>36</v>
      </c>
      <c r="K23" t="s">
        <v>38</v>
      </c>
      <c r="L23">
        <v>1</v>
      </c>
      <c r="M23">
        <v>1</v>
      </c>
      <c r="N23">
        <v>2</v>
      </c>
      <c r="O23" t="s">
        <v>39</v>
      </c>
      <c r="P23" t="s">
        <v>40</v>
      </c>
      <c r="S23">
        <v>0</v>
      </c>
      <c r="T23">
        <v>6</v>
      </c>
    </row>
    <row r="24" spans="1:20" x14ac:dyDescent="0.25">
      <c r="A24" t="s">
        <v>252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92</v>
      </c>
      <c r="K24" t="s">
        <v>43</v>
      </c>
      <c r="L24">
        <v>2</v>
      </c>
      <c r="N24">
        <v>1</v>
      </c>
      <c r="O24" t="s">
        <v>135</v>
      </c>
      <c r="P24" t="s">
        <v>136</v>
      </c>
      <c r="S24">
        <v>0</v>
      </c>
      <c r="T24">
        <v>7</v>
      </c>
    </row>
    <row r="25" spans="1:20" x14ac:dyDescent="0.25">
      <c r="A25" t="s">
        <v>253</v>
      </c>
      <c r="B25">
        <v>23</v>
      </c>
      <c r="C25" t="s">
        <v>43</v>
      </c>
      <c r="D25">
        <v>3</v>
      </c>
      <c r="F25">
        <v>3</v>
      </c>
      <c r="G25" t="s">
        <v>44</v>
      </c>
      <c r="H25" t="s">
        <v>99</v>
      </c>
      <c r="I25" t="s">
        <v>137</v>
      </c>
      <c r="J25" t="s">
        <v>139</v>
      </c>
      <c r="K25" t="s">
        <v>63</v>
      </c>
      <c r="L25">
        <v>3</v>
      </c>
      <c r="N25">
        <v>3</v>
      </c>
      <c r="O25" t="s">
        <v>72</v>
      </c>
      <c r="P25" t="s">
        <v>146</v>
      </c>
      <c r="Q25" t="s">
        <v>104</v>
      </c>
      <c r="R25" t="s">
        <v>151</v>
      </c>
      <c r="S25">
        <v>0</v>
      </c>
      <c r="T25">
        <v>19</v>
      </c>
    </row>
    <row r="26" spans="1:20" x14ac:dyDescent="0.25">
      <c r="A26" t="s">
        <v>254</v>
      </c>
      <c r="B26">
        <v>24</v>
      </c>
      <c r="C26" t="s">
        <v>38</v>
      </c>
      <c r="D26">
        <v>2</v>
      </c>
      <c r="E26">
        <v>1</v>
      </c>
      <c r="F26">
        <v>2</v>
      </c>
      <c r="G26" t="s">
        <v>39</v>
      </c>
      <c r="H26" t="s">
        <v>70</v>
      </c>
      <c r="K26" t="s">
        <v>43</v>
      </c>
      <c r="L26">
        <v>2</v>
      </c>
      <c r="N26">
        <v>1</v>
      </c>
      <c r="O26" t="s">
        <v>135</v>
      </c>
      <c r="P26" t="s">
        <v>99</v>
      </c>
      <c r="Q26" t="s">
        <v>75</v>
      </c>
      <c r="S26">
        <v>0</v>
      </c>
      <c r="T26">
        <v>9</v>
      </c>
    </row>
    <row r="27" spans="1:20" x14ac:dyDescent="0.25">
      <c r="A27" t="s">
        <v>255</v>
      </c>
      <c r="B27">
        <v>25</v>
      </c>
      <c r="C27" t="s">
        <v>63</v>
      </c>
      <c r="D27">
        <v>1</v>
      </c>
      <c r="F27">
        <v>1</v>
      </c>
      <c r="G27" t="s">
        <v>72</v>
      </c>
      <c r="H27" t="s">
        <v>146</v>
      </c>
      <c r="I27" t="s">
        <v>104</v>
      </c>
      <c r="J27" t="s">
        <v>149</v>
      </c>
      <c r="K27" t="s">
        <v>45</v>
      </c>
      <c r="L27">
        <v>3</v>
      </c>
      <c r="N27">
        <v>1</v>
      </c>
      <c r="O27" t="s">
        <v>86</v>
      </c>
      <c r="P27" t="s">
        <v>141</v>
      </c>
      <c r="S27">
        <v>0</v>
      </c>
      <c r="T27">
        <v>10</v>
      </c>
    </row>
    <row r="28" spans="1:20" x14ac:dyDescent="0.25">
      <c r="A28" t="s">
        <v>256</v>
      </c>
      <c r="B28">
        <v>26</v>
      </c>
      <c r="C28" t="s">
        <v>38</v>
      </c>
      <c r="D28">
        <v>1</v>
      </c>
      <c r="E28">
        <v>1</v>
      </c>
      <c r="F28">
        <v>2</v>
      </c>
      <c r="G28" t="s">
        <v>39</v>
      </c>
      <c r="H28" t="s">
        <v>96</v>
      </c>
      <c r="I28" t="s">
        <v>41</v>
      </c>
      <c r="K28" t="s">
        <v>45</v>
      </c>
      <c r="L28">
        <v>3</v>
      </c>
      <c r="N28">
        <v>1</v>
      </c>
      <c r="O28" t="s">
        <v>140</v>
      </c>
      <c r="S28">
        <v>0</v>
      </c>
      <c r="T28">
        <v>7</v>
      </c>
    </row>
    <row r="29" spans="1:20" x14ac:dyDescent="0.25">
      <c r="A29" t="s">
        <v>257</v>
      </c>
      <c r="B29">
        <v>27</v>
      </c>
      <c r="C29" t="s">
        <v>38</v>
      </c>
      <c r="D29">
        <v>2</v>
      </c>
      <c r="E29">
        <v>1</v>
      </c>
      <c r="F29">
        <v>2</v>
      </c>
      <c r="G29" t="s">
        <v>39</v>
      </c>
      <c r="H29" t="s">
        <v>96</v>
      </c>
      <c r="I29" t="s">
        <v>154</v>
      </c>
      <c r="J29" t="s">
        <v>155</v>
      </c>
      <c r="K29" t="s">
        <v>63</v>
      </c>
      <c r="L29">
        <v>2</v>
      </c>
      <c r="N29">
        <v>1</v>
      </c>
      <c r="O29" t="s">
        <v>72</v>
      </c>
      <c r="P29" t="s">
        <v>95</v>
      </c>
      <c r="Q29" t="s">
        <v>147</v>
      </c>
      <c r="R29" t="s">
        <v>151</v>
      </c>
      <c r="S29">
        <v>0</v>
      </c>
      <c r="T29">
        <v>11</v>
      </c>
    </row>
    <row r="30" spans="1:20" x14ac:dyDescent="0.25">
      <c r="A30" t="s">
        <v>258</v>
      </c>
      <c r="B30">
        <v>0</v>
      </c>
      <c r="C30" t="s">
        <v>56</v>
      </c>
      <c r="D30">
        <v>3</v>
      </c>
      <c r="F30">
        <v>1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1</v>
      </c>
      <c r="O30" t="s">
        <v>112</v>
      </c>
      <c r="P30" t="s">
        <v>55</v>
      </c>
      <c r="Q30" t="s">
        <v>97</v>
      </c>
      <c r="R30" t="s">
        <v>115</v>
      </c>
      <c r="S30">
        <v>0</v>
      </c>
      <c r="T30">
        <v>12</v>
      </c>
    </row>
    <row r="31" spans="1:20" x14ac:dyDescent="0.25">
      <c r="A31" t="s">
        <v>259</v>
      </c>
      <c r="B31">
        <v>1</v>
      </c>
      <c r="C31" t="s">
        <v>53</v>
      </c>
      <c r="D31">
        <v>2</v>
      </c>
      <c r="E31">
        <v>1</v>
      </c>
      <c r="F31">
        <v>2</v>
      </c>
      <c r="G31" t="s">
        <v>112</v>
      </c>
      <c r="H31" t="s">
        <v>55</v>
      </c>
      <c r="I31" t="s">
        <v>114</v>
      </c>
      <c r="J31" t="s">
        <v>98</v>
      </c>
      <c r="K31" t="s">
        <v>48</v>
      </c>
      <c r="L31">
        <v>2</v>
      </c>
      <c r="N31">
        <v>1</v>
      </c>
      <c r="O31" t="s">
        <v>49</v>
      </c>
      <c r="P31" t="s">
        <v>71</v>
      </c>
      <c r="Q31" t="s">
        <v>127</v>
      </c>
      <c r="R31" t="s">
        <v>52</v>
      </c>
      <c r="S31">
        <v>0</v>
      </c>
      <c r="T31">
        <v>11</v>
      </c>
    </row>
    <row r="32" spans="1:20" x14ac:dyDescent="0.25">
      <c r="A32" t="s">
        <v>260</v>
      </c>
      <c r="B32">
        <v>2</v>
      </c>
      <c r="C32" t="s">
        <v>33</v>
      </c>
      <c r="D32">
        <v>2</v>
      </c>
      <c r="F32">
        <v>1</v>
      </c>
      <c r="G32" t="s">
        <v>65</v>
      </c>
      <c r="H32" t="s">
        <v>130</v>
      </c>
      <c r="I32" t="s">
        <v>36</v>
      </c>
      <c r="J32" t="s">
        <v>134</v>
      </c>
      <c r="K32" t="s">
        <v>53</v>
      </c>
      <c r="L32">
        <v>3</v>
      </c>
      <c r="M32">
        <v>1</v>
      </c>
      <c r="N32">
        <v>1</v>
      </c>
      <c r="O32" t="s">
        <v>112</v>
      </c>
      <c r="P32" t="s">
        <v>83</v>
      </c>
      <c r="S32">
        <v>0</v>
      </c>
      <c r="T32">
        <v>9</v>
      </c>
    </row>
    <row r="33" spans="1:20" x14ac:dyDescent="0.25">
      <c r="A33" t="s">
        <v>261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98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34</v>
      </c>
    </row>
    <row r="34" spans="1:20" x14ac:dyDescent="0.25">
      <c r="A34" t="s">
        <v>262</v>
      </c>
      <c r="B34">
        <v>4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55</v>
      </c>
      <c r="I34" t="s">
        <v>97</v>
      </c>
      <c r="J34" t="s">
        <v>98</v>
      </c>
      <c r="K34" t="s">
        <v>45</v>
      </c>
      <c r="L34">
        <v>3</v>
      </c>
      <c r="N34">
        <v>3</v>
      </c>
      <c r="O34" t="s">
        <v>86</v>
      </c>
      <c r="P34" t="s">
        <v>76</v>
      </c>
      <c r="Q34" t="s">
        <v>93</v>
      </c>
      <c r="R34" t="s">
        <v>143</v>
      </c>
      <c r="S34">
        <v>0</v>
      </c>
      <c r="T34">
        <v>20</v>
      </c>
    </row>
    <row r="35" spans="1:20" x14ac:dyDescent="0.25">
      <c r="A35" t="s">
        <v>263</v>
      </c>
      <c r="B35">
        <v>5</v>
      </c>
      <c r="C35" t="s">
        <v>63</v>
      </c>
      <c r="D35">
        <v>2</v>
      </c>
      <c r="F35">
        <v>1</v>
      </c>
      <c r="G35" t="s">
        <v>103</v>
      </c>
      <c r="H35" t="s">
        <v>95</v>
      </c>
      <c r="I35" t="s">
        <v>147</v>
      </c>
      <c r="J35" t="s">
        <v>149</v>
      </c>
      <c r="K35" t="s">
        <v>53</v>
      </c>
      <c r="L35">
        <v>1</v>
      </c>
      <c r="M35">
        <v>3</v>
      </c>
      <c r="N35">
        <v>1</v>
      </c>
      <c r="O35" t="s">
        <v>111</v>
      </c>
      <c r="P35" t="s">
        <v>83</v>
      </c>
      <c r="Q35" t="s">
        <v>97</v>
      </c>
      <c r="R35" t="s">
        <v>98</v>
      </c>
      <c r="S35">
        <v>0</v>
      </c>
      <c r="T35">
        <v>12</v>
      </c>
    </row>
    <row r="36" spans="1:20" x14ac:dyDescent="0.25">
      <c r="A36" t="s">
        <v>264</v>
      </c>
      <c r="B36">
        <v>6</v>
      </c>
      <c r="C36" t="s">
        <v>53</v>
      </c>
      <c r="D36">
        <v>2</v>
      </c>
      <c r="E36">
        <v>1</v>
      </c>
      <c r="F36">
        <v>1</v>
      </c>
      <c r="G36" t="s">
        <v>112</v>
      </c>
      <c r="H36" t="s">
        <v>83</v>
      </c>
      <c r="I36" t="s">
        <v>114</v>
      </c>
      <c r="J36" t="s">
        <v>98</v>
      </c>
      <c r="K36" t="s">
        <v>38</v>
      </c>
      <c r="L36">
        <v>3</v>
      </c>
      <c r="M36">
        <v>2</v>
      </c>
      <c r="N36">
        <v>1</v>
      </c>
      <c r="O36" t="s">
        <v>152</v>
      </c>
      <c r="P36" t="s">
        <v>40</v>
      </c>
      <c r="Q36" t="s">
        <v>41</v>
      </c>
      <c r="S36">
        <v>0</v>
      </c>
      <c r="T36">
        <v>12</v>
      </c>
    </row>
    <row r="37" spans="1:20" x14ac:dyDescent="0.25">
      <c r="A37" t="s">
        <v>265</v>
      </c>
      <c r="B37">
        <v>7</v>
      </c>
      <c r="C37" t="s">
        <v>56</v>
      </c>
      <c r="D37">
        <v>3</v>
      </c>
      <c r="F37">
        <v>1</v>
      </c>
      <c r="G37" t="s">
        <v>120</v>
      </c>
      <c r="K37" t="s">
        <v>48</v>
      </c>
      <c r="L37">
        <v>1</v>
      </c>
      <c r="N37">
        <v>1</v>
      </c>
      <c r="O37" t="s">
        <v>49</v>
      </c>
      <c r="P37" t="s">
        <v>50</v>
      </c>
      <c r="Q37" t="s">
        <v>51</v>
      </c>
      <c r="S37">
        <v>0</v>
      </c>
      <c r="T37">
        <v>6</v>
      </c>
    </row>
    <row r="38" spans="1:20" x14ac:dyDescent="0.25">
      <c r="A38" t="s">
        <v>266</v>
      </c>
      <c r="B38">
        <v>8</v>
      </c>
      <c r="C38" t="s">
        <v>33</v>
      </c>
      <c r="D38">
        <v>1</v>
      </c>
      <c r="F38">
        <v>2</v>
      </c>
      <c r="G38" t="s">
        <v>65</v>
      </c>
      <c r="H38" t="s">
        <v>130</v>
      </c>
      <c r="I38" t="s">
        <v>36</v>
      </c>
      <c r="K38" t="s">
        <v>56</v>
      </c>
      <c r="L38">
        <v>3</v>
      </c>
      <c r="N38">
        <v>1</v>
      </c>
      <c r="O38" t="s">
        <v>120</v>
      </c>
      <c r="S38">
        <v>0</v>
      </c>
      <c r="T38">
        <v>7</v>
      </c>
    </row>
    <row r="39" spans="1:20" x14ac:dyDescent="0.25">
      <c r="A39" t="s">
        <v>267</v>
      </c>
      <c r="B39">
        <v>9</v>
      </c>
      <c r="C39" t="s">
        <v>56</v>
      </c>
      <c r="D39">
        <v>2</v>
      </c>
      <c r="F39">
        <v>1</v>
      </c>
      <c r="G39" t="s">
        <v>120</v>
      </c>
      <c r="H39" t="s">
        <v>122</v>
      </c>
      <c r="I39" t="s">
        <v>87</v>
      </c>
      <c r="K39" t="s">
        <v>43</v>
      </c>
      <c r="L39">
        <v>2</v>
      </c>
      <c r="N39">
        <v>1</v>
      </c>
      <c r="O39" t="s">
        <v>135</v>
      </c>
      <c r="P39" t="s">
        <v>74</v>
      </c>
      <c r="Q39" t="s">
        <v>137</v>
      </c>
      <c r="S39">
        <v>0</v>
      </c>
      <c r="T39">
        <v>8</v>
      </c>
    </row>
    <row r="40" spans="1:20" x14ac:dyDescent="0.25">
      <c r="A40" t="s">
        <v>268</v>
      </c>
      <c r="B40">
        <v>10</v>
      </c>
      <c r="C40" t="s">
        <v>56</v>
      </c>
      <c r="D40">
        <v>2</v>
      </c>
      <c r="F40">
        <v>1</v>
      </c>
      <c r="G40" t="s">
        <v>68</v>
      </c>
      <c r="H40" t="s">
        <v>121</v>
      </c>
      <c r="K40" t="s">
        <v>45</v>
      </c>
      <c r="L40">
        <v>3</v>
      </c>
      <c r="N40">
        <v>1</v>
      </c>
      <c r="O40" t="s">
        <v>140</v>
      </c>
      <c r="S40">
        <v>0</v>
      </c>
      <c r="T40">
        <v>6</v>
      </c>
    </row>
    <row r="41" spans="1:20" x14ac:dyDescent="0.25">
      <c r="A41" t="s">
        <v>269</v>
      </c>
      <c r="B41">
        <v>11</v>
      </c>
      <c r="C41" t="s">
        <v>63</v>
      </c>
      <c r="D41">
        <v>1</v>
      </c>
      <c r="F41">
        <v>1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1</v>
      </c>
      <c r="O41" t="s">
        <v>57</v>
      </c>
      <c r="P41" t="s">
        <v>122</v>
      </c>
      <c r="S41">
        <v>0</v>
      </c>
      <c r="T41">
        <v>10</v>
      </c>
    </row>
    <row r="42" spans="1:20" x14ac:dyDescent="0.25">
      <c r="A42" t="s">
        <v>270</v>
      </c>
      <c r="B42">
        <v>12</v>
      </c>
      <c r="C42" t="s">
        <v>56</v>
      </c>
      <c r="D42">
        <v>1</v>
      </c>
      <c r="F42">
        <v>1</v>
      </c>
      <c r="G42" t="s">
        <v>57</v>
      </c>
      <c r="H42" t="s">
        <v>121</v>
      </c>
      <c r="I42" t="s">
        <v>85</v>
      </c>
      <c r="K42" t="s">
        <v>38</v>
      </c>
      <c r="L42">
        <v>1</v>
      </c>
      <c r="M42">
        <v>1</v>
      </c>
      <c r="N42">
        <v>1</v>
      </c>
      <c r="O42" t="s">
        <v>39</v>
      </c>
      <c r="P42" t="s">
        <v>96</v>
      </c>
      <c r="Q42" t="s">
        <v>154</v>
      </c>
      <c r="S42">
        <v>0</v>
      </c>
      <c r="T42">
        <v>6</v>
      </c>
    </row>
    <row r="43" spans="1:20" x14ac:dyDescent="0.25">
      <c r="A43" t="s">
        <v>271</v>
      </c>
      <c r="B43">
        <v>13</v>
      </c>
      <c r="C43" t="s">
        <v>33</v>
      </c>
      <c r="D43">
        <v>2</v>
      </c>
      <c r="F43">
        <v>1</v>
      </c>
      <c r="G43" t="s">
        <v>65</v>
      </c>
      <c r="H43" t="s">
        <v>35</v>
      </c>
      <c r="K43" t="s">
        <v>48</v>
      </c>
      <c r="L43">
        <v>2</v>
      </c>
      <c r="N43">
        <v>1</v>
      </c>
      <c r="O43" t="s">
        <v>89</v>
      </c>
      <c r="P43" t="s">
        <v>50</v>
      </c>
      <c r="S43">
        <v>0</v>
      </c>
      <c r="T43">
        <v>7</v>
      </c>
    </row>
    <row r="44" spans="1:20" x14ac:dyDescent="0.25">
      <c r="A44" t="s">
        <v>272</v>
      </c>
      <c r="B44">
        <v>14</v>
      </c>
      <c r="C44" t="s">
        <v>43</v>
      </c>
      <c r="D44">
        <v>3</v>
      </c>
      <c r="F44">
        <v>3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3</v>
      </c>
      <c r="N44">
        <v>3</v>
      </c>
      <c r="O44" t="s">
        <v>126</v>
      </c>
      <c r="P44" t="s">
        <v>71</v>
      </c>
      <c r="Q44" t="s">
        <v>90</v>
      </c>
      <c r="R44" t="s">
        <v>52</v>
      </c>
      <c r="S44">
        <v>0</v>
      </c>
      <c r="T44">
        <v>43</v>
      </c>
    </row>
    <row r="45" spans="1:20" x14ac:dyDescent="0.25">
      <c r="A45" t="s">
        <v>273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71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86</v>
      </c>
      <c r="P45" t="s">
        <v>141</v>
      </c>
      <c r="Q45" t="s">
        <v>93</v>
      </c>
      <c r="R45" t="s">
        <v>143</v>
      </c>
      <c r="S45">
        <v>0</v>
      </c>
      <c r="T45">
        <v>16</v>
      </c>
    </row>
    <row r="46" spans="1:20" x14ac:dyDescent="0.25">
      <c r="A46" t="s">
        <v>274</v>
      </c>
      <c r="B46">
        <v>16</v>
      </c>
      <c r="C46" t="s">
        <v>63</v>
      </c>
      <c r="D46">
        <v>2</v>
      </c>
      <c r="F46">
        <v>1</v>
      </c>
      <c r="G46" t="s">
        <v>72</v>
      </c>
      <c r="H46" t="s">
        <v>95</v>
      </c>
      <c r="I46" t="s">
        <v>104</v>
      </c>
      <c r="K46" t="s">
        <v>48</v>
      </c>
      <c r="L46">
        <v>1</v>
      </c>
      <c r="N46">
        <v>1</v>
      </c>
      <c r="O46" t="s">
        <v>89</v>
      </c>
      <c r="P46" t="s">
        <v>50</v>
      </c>
      <c r="Q46" t="s">
        <v>51</v>
      </c>
      <c r="R46" t="s">
        <v>128</v>
      </c>
      <c r="S46">
        <v>0</v>
      </c>
      <c r="T46">
        <v>8</v>
      </c>
    </row>
    <row r="47" spans="1:20" x14ac:dyDescent="0.25">
      <c r="A47" t="s">
        <v>275</v>
      </c>
      <c r="B47">
        <v>17</v>
      </c>
      <c r="C47" t="s">
        <v>38</v>
      </c>
      <c r="D47">
        <v>3</v>
      </c>
      <c r="E47">
        <v>1</v>
      </c>
      <c r="F47">
        <v>2</v>
      </c>
      <c r="G47" t="s">
        <v>39</v>
      </c>
      <c r="H47" t="s">
        <v>40</v>
      </c>
      <c r="I47" t="s">
        <v>41</v>
      </c>
      <c r="J47" t="s">
        <v>156</v>
      </c>
      <c r="K47" t="s">
        <v>48</v>
      </c>
      <c r="L47">
        <v>3</v>
      </c>
      <c r="N47">
        <v>1</v>
      </c>
      <c r="O47" t="s">
        <v>89</v>
      </c>
      <c r="P47" t="s">
        <v>50</v>
      </c>
      <c r="Q47" t="s">
        <v>51</v>
      </c>
      <c r="R47" t="s">
        <v>128</v>
      </c>
      <c r="S47">
        <v>0</v>
      </c>
      <c r="T47">
        <v>13</v>
      </c>
    </row>
    <row r="48" spans="1:20" x14ac:dyDescent="0.25">
      <c r="A48" t="s">
        <v>276</v>
      </c>
      <c r="B48">
        <v>18</v>
      </c>
      <c r="C48" t="s">
        <v>33</v>
      </c>
      <c r="D48">
        <v>3</v>
      </c>
      <c r="F48">
        <v>3</v>
      </c>
      <c r="G48" t="s">
        <v>65</v>
      </c>
      <c r="H48" t="s">
        <v>66</v>
      </c>
      <c r="K48" t="s">
        <v>43</v>
      </c>
      <c r="L48">
        <v>2</v>
      </c>
      <c r="N48">
        <v>3</v>
      </c>
      <c r="O48" t="s">
        <v>44</v>
      </c>
      <c r="P48" t="s">
        <v>136</v>
      </c>
      <c r="S48">
        <v>0</v>
      </c>
      <c r="T48">
        <v>11</v>
      </c>
    </row>
    <row r="49" spans="1:20" x14ac:dyDescent="0.25">
      <c r="A49" t="s">
        <v>277</v>
      </c>
      <c r="B49">
        <v>19</v>
      </c>
      <c r="C49" t="s">
        <v>45</v>
      </c>
      <c r="D49">
        <v>3</v>
      </c>
      <c r="F49">
        <v>1</v>
      </c>
      <c r="G49" t="s">
        <v>140</v>
      </c>
      <c r="H49" t="s">
        <v>141</v>
      </c>
      <c r="K49" t="s">
        <v>33</v>
      </c>
      <c r="L49">
        <v>1</v>
      </c>
      <c r="N49">
        <v>3</v>
      </c>
      <c r="O49" t="s">
        <v>65</v>
      </c>
      <c r="P49" t="s">
        <v>35</v>
      </c>
      <c r="S49">
        <v>0</v>
      </c>
      <c r="T49">
        <v>8</v>
      </c>
    </row>
    <row r="50" spans="1:20" x14ac:dyDescent="0.25">
      <c r="A50" t="s">
        <v>278</v>
      </c>
      <c r="B50">
        <v>20</v>
      </c>
      <c r="C50" t="s">
        <v>63</v>
      </c>
      <c r="D50">
        <v>2</v>
      </c>
      <c r="F50">
        <v>1</v>
      </c>
      <c r="G50" t="s">
        <v>72</v>
      </c>
      <c r="H50" t="s">
        <v>95</v>
      </c>
      <c r="I50" t="s">
        <v>104</v>
      </c>
      <c r="K50" t="s">
        <v>33</v>
      </c>
      <c r="L50">
        <v>1</v>
      </c>
      <c r="N50">
        <v>3</v>
      </c>
      <c r="O50" t="s">
        <v>34</v>
      </c>
      <c r="P50" t="s">
        <v>66</v>
      </c>
      <c r="S50">
        <v>0</v>
      </c>
      <c r="T50">
        <v>8</v>
      </c>
    </row>
    <row r="51" spans="1:20" x14ac:dyDescent="0.25">
      <c r="A51" t="s">
        <v>279</v>
      </c>
      <c r="B51">
        <v>21</v>
      </c>
      <c r="C51" t="s">
        <v>33</v>
      </c>
      <c r="D51">
        <v>1</v>
      </c>
      <c r="F51">
        <v>3</v>
      </c>
      <c r="G51" t="s">
        <v>65</v>
      </c>
      <c r="H51" t="s">
        <v>66</v>
      </c>
      <c r="K51" t="s">
        <v>38</v>
      </c>
      <c r="L51">
        <v>3</v>
      </c>
      <c r="M51">
        <v>1</v>
      </c>
      <c r="N51">
        <v>1</v>
      </c>
      <c r="O51" t="s">
        <v>67</v>
      </c>
      <c r="P51" t="s">
        <v>96</v>
      </c>
      <c r="S51">
        <v>0</v>
      </c>
      <c r="T51">
        <v>8</v>
      </c>
    </row>
    <row r="52" spans="1:20" x14ac:dyDescent="0.25">
      <c r="A52" t="s">
        <v>280</v>
      </c>
      <c r="B52">
        <v>22</v>
      </c>
      <c r="C52" t="s">
        <v>45</v>
      </c>
      <c r="D52">
        <v>3</v>
      </c>
      <c r="F52">
        <v>1</v>
      </c>
      <c r="G52" t="s">
        <v>140</v>
      </c>
      <c r="K52" t="s">
        <v>43</v>
      </c>
      <c r="L52">
        <v>2</v>
      </c>
      <c r="N52">
        <v>1</v>
      </c>
      <c r="O52" t="s">
        <v>135</v>
      </c>
      <c r="P52" t="s">
        <v>136</v>
      </c>
      <c r="Q52" t="s">
        <v>137</v>
      </c>
      <c r="S52">
        <v>0</v>
      </c>
      <c r="T52">
        <v>9</v>
      </c>
    </row>
    <row r="53" spans="1:20" x14ac:dyDescent="0.25">
      <c r="A53" t="s">
        <v>281</v>
      </c>
      <c r="B53">
        <v>23</v>
      </c>
      <c r="C53" t="s">
        <v>63</v>
      </c>
      <c r="D53">
        <v>3</v>
      </c>
      <c r="F53">
        <v>3</v>
      </c>
      <c r="G53" t="s">
        <v>72</v>
      </c>
      <c r="H53" t="s">
        <v>146</v>
      </c>
      <c r="I53" t="s">
        <v>148</v>
      </c>
      <c r="J53" t="s">
        <v>150</v>
      </c>
      <c r="K53" t="s">
        <v>43</v>
      </c>
      <c r="L53">
        <v>3</v>
      </c>
      <c r="N53">
        <v>3</v>
      </c>
      <c r="O53" t="s">
        <v>44</v>
      </c>
      <c r="P53" t="s">
        <v>99</v>
      </c>
      <c r="Q53" t="s">
        <v>137</v>
      </c>
      <c r="R53" t="s">
        <v>139</v>
      </c>
      <c r="S53">
        <v>0</v>
      </c>
      <c r="T53">
        <v>18</v>
      </c>
    </row>
    <row r="54" spans="1:20" x14ac:dyDescent="0.25">
      <c r="A54" t="s">
        <v>282</v>
      </c>
      <c r="B54">
        <v>24</v>
      </c>
      <c r="C54" t="s">
        <v>38</v>
      </c>
      <c r="D54">
        <v>1</v>
      </c>
      <c r="E54">
        <v>2</v>
      </c>
      <c r="F54">
        <v>2</v>
      </c>
      <c r="G54" t="s">
        <v>39</v>
      </c>
      <c r="H54" t="s">
        <v>70</v>
      </c>
      <c r="I54" t="s">
        <v>41</v>
      </c>
      <c r="K54" t="s">
        <v>43</v>
      </c>
      <c r="L54">
        <v>2</v>
      </c>
      <c r="N54">
        <v>1</v>
      </c>
      <c r="O54" t="s">
        <v>135</v>
      </c>
      <c r="P54" t="s">
        <v>99</v>
      </c>
      <c r="Q54" t="s">
        <v>75</v>
      </c>
      <c r="S54">
        <v>0</v>
      </c>
      <c r="T54">
        <v>9</v>
      </c>
    </row>
    <row r="55" spans="1:20" x14ac:dyDescent="0.25">
      <c r="A55" t="s">
        <v>283</v>
      </c>
      <c r="B55">
        <v>25</v>
      </c>
      <c r="C55" t="s">
        <v>63</v>
      </c>
      <c r="D55">
        <v>1</v>
      </c>
      <c r="F55">
        <v>3</v>
      </c>
      <c r="G55" t="s">
        <v>145</v>
      </c>
      <c r="H55" t="s">
        <v>146</v>
      </c>
      <c r="K55" t="s">
        <v>45</v>
      </c>
      <c r="L55">
        <v>3</v>
      </c>
      <c r="N55">
        <v>1</v>
      </c>
      <c r="O55" t="s">
        <v>86</v>
      </c>
      <c r="P55" t="s">
        <v>141</v>
      </c>
      <c r="Q55" t="s">
        <v>93</v>
      </c>
      <c r="S55">
        <v>0</v>
      </c>
      <c r="T55">
        <v>10</v>
      </c>
    </row>
    <row r="56" spans="1:20" x14ac:dyDescent="0.25">
      <c r="A56" t="s">
        <v>284</v>
      </c>
      <c r="B56">
        <v>26</v>
      </c>
      <c r="C56" t="s">
        <v>38</v>
      </c>
      <c r="D56">
        <v>2</v>
      </c>
      <c r="E56">
        <v>1</v>
      </c>
      <c r="F56">
        <v>2</v>
      </c>
      <c r="G56" t="s">
        <v>39</v>
      </c>
      <c r="H56" t="s">
        <v>96</v>
      </c>
      <c r="K56" t="s">
        <v>45</v>
      </c>
      <c r="L56">
        <v>3</v>
      </c>
      <c r="N56">
        <v>1</v>
      </c>
      <c r="O56" t="s">
        <v>140</v>
      </c>
      <c r="S56">
        <v>0</v>
      </c>
      <c r="T56">
        <v>7</v>
      </c>
    </row>
    <row r="57" spans="1:20" x14ac:dyDescent="0.25">
      <c r="A57" t="s">
        <v>285</v>
      </c>
      <c r="B57">
        <v>27</v>
      </c>
      <c r="C57" t="s">
        <v>38</v>
      </c>
      <c r="D57">
        <v>3</v>
      </c>
      <c r="E57">
        <v>3</v>
      </c>
      <c r="F57">
        <v>3</v>
      </c>
      <c r="G57" t="s">
        <v>39</v>
      </c>
      <c r="H57" t="s">
        <v>96</v>
      </c>
      <c r="I57" t="s">
        <v>154</v>
      </c>
      <c r="J57" t="s">
        <v>155</v>
      </c>
      <c r="K57" t="s">
        <v>63</v>
      </c>
      <c r="L57">
        <v>3</v>
      </c>
      <c r="N57">
        <v>3</v>
      </c>
      <c r="O57" t="s">
        <v>72</v>
      </c>
      <c r="P57" t="s">
        <v>95</v>
      </c>
      <c r="Q57" t="s">
        <v>147</v>
      </c>
      <c r="R57" t="s">
        <v>151</v>
      </c>
      <c r="S57">
        <v>0</v>
      </c>
      <c r="T57">
        <v>19</v>
      </c>
    </row>
    <row r="58" spans="1:20" x14ac:dyDescent="0.25">
      <c r="A58" t="s">
        <v>286</v>
      </c>
      <c r="B58">
        <v>13</v>
      </c>
      <c r="C58" t="s">
        <v>33</v>
      </c>
      <c r="D58">
        <v>2</v>
      </c>
      <c r="F58">
        <v>2</v>
      </c>
      <c r="G58" t="s">
        <v>65</v>
      </c>
      <c r="H58" t="s">
        <v>130</v>
      </c>
      <c r="I58" t="s">
        <v>131</v>
      </c>
      <c r="K58" t="s">
        <v>48</v>
      </c>
      <c r="L58">
        <v>2</v>
      </c>
      <c r="N58">
        <v>1</v>
      </c>
      <c r="O58" t="s">
        <v>89</v>
      </c>
      <c r="P58" t="s">
        <v>50</v>
      </c>
      <c r="Q58" t="s">
        <v>90</v>
      </c>
      <c r="R58" t="s">
        <v>129</v>
      </c>
      <c r="S58">
        <v>0</v>
      </c>
      <c r="T58">
        <v>11</v>
      </c>
    </row>
    <row r="59" spans="1:20" x14ac:dyDescent="0.25">
      <c r="A59" t="s">
        <v>287</v>
      </c>
      <c r="B59">
        <v>13</v>
      </c>
      <c r="C59" t="s">
        <v>48</v>
      </c>
      <c r="D59">
        <v>3</v>
      </c>
      <c r="F59">
        <v>1</v>
      </c>
      <c r="G59" t="s">
        <v>89</v>
      </c>
      <c r="H59" t="s">
        <v>71</v>
      </c>
      <c r="I59" t="s">
        <v>127</v>
      </c>
      <c r="K59" t="s">
        <v>33</v>
      </c>
      <c r="L59">
        <v>3</v>
      </c>
      <c r="N59">
        <v>3</v>
      </c>
      <c r="O59" t="s">
        <v>65</v>
      </c>
      <c r="S59">
        <v>0</v>
      </c>
      <c r="T59">
        <v>10</v>
      </c>
    </row>
  </sheetData>
  <phoneticPr fontId="3" type="noConversion"/>
  <conditionalFormatting sqref="B1:B1048576">
    <cfRule type="duplicateValues" dxfId="1795" priority="2"/>
  </conditionalFormatting>
  <conditionalFormatting sqref="A2:B59">
    <cfRule type="duplicateValues" dxfId="1794" priority="629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H15" sqref="H15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0</v>
      </c>
      <c r="C3" t="s">
        <v>56</v>
      </c>
      <c r="D3">
        <f>COUNTIFS(Scenario2[winner1],ScenarioStat2[[#This Row],[hero-2]],Scenario2[loser1],ScenarioStat2[[#This Row],[hero-1]])</f>
        <v>2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8</v>
      </c>
      <c r="J3" s="3">
        <f>IF(ScenarioTeams2[[#This Row],[battles]],ScenarioTeams2[[#This Row],[wins]]/ScenarioTeams2[[#This Row],[battles]],0)</f>
        <v>0.5714285714285714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8</v>
      </c>
      <c r="J4" s="3">
        <f>IF(ScenarioTeams2[[#This Row],[battles]],ScenarioTeams2[[#This Row],[wins]]/ScenarioTeams2[[#This Row],[battles]],0)</f>
        <v>0.5714285714285714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0</v>
      </c>
      <c r="C5" t="s">
        <v>33</v>
      </c>
      <c r="D5">
        <f>COUNTIFS(Scenario2[winner1],ScenarioStat2[[#This Row],[hero-2]],Scenario2[loser1],ScenarioStat2[[#This Row],[hero-1]])</f>
        <v>2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16</v>
      </c>
      <c r="I5">
        <f>SUMIFS(ScenarioStat2[team-1-win],ScenarioStat2[hero-1],ScenarioTeams2[[#This Row],[hero]])+SUMIFS(ScenarioStat2[team-2-win],ScenarioStat2[hero-2],ScenarioTeams2[[#This Row],[hero]])</f>
        <v>3</v>
      </c>
      <c r="J5" s="3">
        <f>IF(ScenarioTeams2[[#This Row],[battles]],ScenarioTeams2[[#This Row],[wins]]/ScenarioTeams2[[#This Row],[battles]],0)</f>
        <v>0.1875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16</v>
      </c>
      <c r="I6">
        <f>SUMIFS(ScenarioStat2[team-1-win],ScenarioStat2[hero-1],ScenarioTeams2[[#This Row],[hero]])+SUMIFS(ScenarioStat2[team-2-win],ScenarioStat2[hero-2],ScenarioTeams2[[#This Row],[hero]])</f>
        <v>12</v>
      </c>
      <c r="J6" s="3">
        <f>IF(ScenarioTeams2[[#This Row],[battles]],ScenarioTeams2[[#This Row],[wins]]/ScenarioTeams2[[#This Row],[battles]],0)</f>
        <v>0.75</v>
      </c>
      <c r="K6" s="3"/>
      <c r="L6" s="5" t="s">
        <v>108</v>
      </c>
      <c r="M6" s="31">
        <f>AVERAGE(Scenario2[turns])</f>
        <v>11.46551724137931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4</v>
      </c>
      <c r="J7" s="3">
        <f>IF(ScenarioTeams2[[#This Row],[battles]],ScenarioTeams2[[#This Row],[wins]]/ScenarioTeams2[[#This Row],[battles]],0)</f>
        <v>0.2857142857142857</v>
      </c>
      <c r="K7" s="3"/>
      <c r="L7" s="5" t="s">
        <v>160</v>
      </c>
      <c r="M7" s="31">
        <f>MAX(Scenario2[turns])</f>
        <v>43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2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5</v>
      </c>
      <c r="J8" s="3">
        <f>IF(ScenarioTeams2[[#This Row],[battles]],ScenarioTeams2[[#This Row],[wins]]/ScenarioTeams2[[#This Row],[battles]],0)</f>
        <v>0.35714285714285715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9</v>
      </c>
      <c r="J9" s="3">
        <f>IF(ScenarioTeams2[[#This Row],[battles]],ScenarioTeams2[[#This Row],[wins]]/ScenarioTeams2[[#This Row],[battles]],0)</f>
        <v>0.6428571428571429</v>
      </c>
      <c r="K9" s="3"/>
      <c r="L9" s="4" t="s">
        <v>185</v>
      </c>
      <c r="M9" s="30">
        <f>120000*$M$6/1000/60</f>
        <v>22.931034482758619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9</v>
      </c>
      <c r="J10" s="3">
        <f>IF(ScenarioTeams2[[#This Row],[battles]],ScenarioTeams2[[#This Row],[wins]]/ScenarioTeams2[[#This Row],[battles]],0)</f>
        <v>0.6428571428571429</v>
      </c>
      <c r="K10" s="3"/>
      <c r="L10" s="5" t="s">
        <v>186</v>
      </c>
      <c r="M10" s="6">
        <f>M9*COUNTA(ScenarioStat2[hero-1])/60/24*2</f>
        <v>0.89176245210727967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0</v>
      </c>
      <c r="C11" t="s">
        <v>33</v>
      </c>
      <c r="D11">
        <f>COUNTIFS(Scenario2[winner1],ScenarioStat2[[#This Row],[hero-2]],Scenario2[loser1],ScenarioStat2[[#This Row],[hero-1]])</f>
        <v>2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3</v>
      </c>
      <c r="E16">
        <f>ScenarioStat2[[#This Row],[team-1-win]]+ScenarioStat2[[#This Row],[team-2-win]]</f>
        <v>4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0</v>
      </c>
      <c r="C17" t="s">
        <v>43</v>
      </c>
      <c r="D17">
        <f>COUNTIFS(Scenario2[winner1],ScenarioStat2[[#This Row],[hero-2]],Scenario2[loser1],ScenarioStat2[[#This Row],[hero-1]])</f>
        <v>2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0</v>
      </c>
      <c r="C19" t="s">
        <v>63</v>
      </c>
      <c r="D19">
        <f>COUNTIFS(Scenario2[winner1],ScenarioStat2[[#This Row],[hero-2]],Scenario2[loser1],ScenarioStat2[[#This Row],[hero-1]])</f>
        <v>2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0</v>
      </c>
      <c r="C20" t="s">
        <v>38</v>
      </c>
      <c r="D20">
        <f>COUNTIFS(Scenario2[winner1],ScenarioStat2[[#This Row],[hero-2]],Scenario2[loser1],ScenarioStat2[[#This Row],[hero-1]])</f>
        <v>2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2</v>
      </c>
      <c r="C21" t="s">
        <v>43</v>
      </c>
      <c r="D21">
        <f>COUNTIFS(Scenario2[winner1],ScenarioStat2[[#This Row],[hero-2]],Scenario2[loser1],ScenarioStat2[[#This Row],[hero-1]])</f>
        <v>0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1</v>
      </c>
      <c r="C23" t="s">
        <v>63</v>
      </c>
      <c r="D23">
        <f>COUNTIFS(Scenario2[winner1],ScenarioStat2[[#This Row],[hero-2]],Scenario2[loser1],ScenarioStat2[[#This Row],[hero-1]])</f>
        <v>1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2</v>
      </c>
      <c r="C24" t="s">
        <v>38</v>
      </c>
      <c r="D24">
        <f>COUNTIFS(Scenario2[winner1],ScenarioStat2[[#This Row],[hero-2]],Scenario2[loser1],ScenarioStat2[[#This Row],[hero-1]])</f>
        <v>0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0</v>
      </c>
      <c r="C27" t="s">
        <v>38</v>
      </c>
      <c r="D27">
        <f>COUNTIFS(Scenario2[winner1],ScenarioStat2[[#This Row],[hero-2]],Scenario2[loser1],ScenarioStat2[[#This Row],[hero-1]])</f>
        <v>2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0</v>
      </c>
      <c r="C28" t="s">
        <v>63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0</v>
      </c>
      <c r="C30" t="s">
        <v>38</v>
      </c>
      <c r="D30">
        <f>COUNTIFS(Scenario2[winner1],ScenarioStat2[[#This Row],[hero-2]],Scenario2[loser1],ScenarioStat2[[#This Row],[hero-1]])</f>
        <v>2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F20" sqref="AF20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498</v>
      </c>
      <c r="B2">
        <v>0</v>
      </c>
      <c r="C2" t="s">
        <v>48</v>
      </c>
      <c r="D2">
        <v>3</v>
      </c>
      <c r="F2">
        <v>3</v>
      </c>
      <c r="G2" t="s">
        <v>49</v>
      </c>
      <c r="H2" t="s">
        <v>71</v>
      </c>
      <c r="I2" t="s">
        <v>90</v>
      </c>
      <c r="J2" t="s">
        <v>52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114</v>
      </c>
      <c r="R2" t="s">
        <v>115</v>
      </c>
      <c r="S2" t="s">
        <v>56</v>
      </c>
      <c r="T2">
        <v>3</v>
      </c>
      <c r="V2">
        <v>3</v>
      </c>
      <c r="W2" t="s">
        <v>120</v>
      </c>
      <c r="X2" t="s">
        <v>122</v>
      </c>
      <c r="Y2" t="s">
        <v>123</v>
      </c>
      <c r="Z2" t="s">
        <v>124</v>
      </c>
      <c r="AA2">
        <v>0</v>
      </c>
      <c r="AB2">
        <v>31</v>
      </c>
    </row>
    <row r="3" spans="1:28" x14ac:dyDescent="0.25">
      <c r="A3" t="s">
        <v>499</v>
      </c>
      <c r="B3">
        <v>1</v>
      </c>
      <c r="C3" t="s">
        <v>33</v>
      </c>
      <c r="D3">
        <v>3</v>
      </c>
      <c r="F3">
        <v>2</v>
      </c>
      <c r="G3" t="s">
        <v>65</v>
      </c>
      <c r="H3" t="s">
        <v>130</v>
      </c>
      <c r="I3" t="s">
        <v>36</v>
      </c>
      <c r="J3" t="s">
        <v>134</v>
      </c>
      <c r="K3" t="s">
        <v>53</v>
      </c>
      <c r="L3">
        <v>1</v>
      </c>
      <c r="M3">
        <v>3</v>
      </c>
      <c r="N3">
        <v>2</v>
      </c>
      <c r="O3" t="s">
        <v>112</v>
      </c>
      <c r="S3" t="s">
        <v>56</v>
      </c>
      <c r="T3">
        <v>2</v>
      </c>
      <c r="V3">
        <v>2</v>
      </c>
      <c r="W3" t="s">
        <v>120</v>
      </c>
      <c r="X3" t="s">
        <v>69</v>
      </c>
      <c r="Y3" t="s">
        <v>87</v>
      </c>
      <c r="Z3" t="s">
        <v>88</v>
      </c>
      <c r="AA3">
        <v>0</v>
      </c>
      <c r="AB3">
        <v>17</v>
      </c>
    </row>
    <row r="4" spans="1:28" x14ac:dyDescent="0.25">
      <c r="A4" t="s">
        <v>500</v>
      </c>
      <c r="B4">
        <v>2</v>
      </c>
      <c r="C4" t="s">
        <v>56</v>
      </c>
      <c r="D4">
        <v>3</v>
      </c>
      <c r="F4">
        <v>3</v>
      </c>
      <c r="G4" t="s">
        <v>120</v>
      </c>
      <c r="H4" t="s">
        <v>121</v>
      </c>
      <c r="I4" t="s">
        <v>123</v>
      </c>
      <c r="J4" t="s">
        <v>124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83</v>
      </c>
      <c r="Q4" t="s">
        <v>97</v>
      </c>
      <c r="R4" t="s">
        <v>98</v>
      </c>
      <c r="S4" t="s">
        <v>43</v>
      </c>
      <c r="T4">
        <v>3</v>
      </c>
      <c r="V4">
        <v>3</v>
      </c>
      <c r="W4" t="s">
        <v>73</v>
      </c>
      <c r="X4" t="s">
        <v>99</v>
      </c>
      <c r="AA4">
        <v>0</v>
      </c>
      <c r="AB4">
        <v>26</v>
      </c>
    </row>
    <row r="5" spans="1:28" x14ac:dyDescent="0.25">
      <c r="A5" t="s">
        <v>501</v>
      </c>
      <c r="B5">
        <v>3</v>
      </c>
      <c r="C5" t="s">
        <v>45</v>
      </c>
      <c r="D5">
        <v>3</v>
      </c>
      <c r="F5">
        <v>2</v>
      </c>
      <c r="G5" t="s">
        <v>86</v>
      </c>
      <c r="H5" t="s">
        <v>141</v>
      </c>
      <c r="I5" t="s">
        <v>102</v>
      </c>
      <c r="J5" t="s">
        <v>144</v>
      </c>
      <c r="K5" t="s">
        <v>53</v>
      </c>
      <c r="L5">
        <v>1</v>
      </c>
      <c r="M5">
        <v>3</v>
      </c>
      <c r="N5">
        <v>3</v>
      </c>
      <c r="O5" t="s">
        <v>112</v>
      </c>
      <c r="P5" t="s">
        <v>55</v>
      </c>
      <c r="S5" t="s">
        <v>56</v>
      </c>
      <c r="T5">
        <v>3</v>
      </c>
      <c r="V5">
        <v>1</v>
      </c>
      <c r="W5" t="s">
        <v>120</v>
      </c>
      <c r="X5" t="s">
        <v>121</v>
      </c>
      <c r="Y5" t="s">
        <v>123</v>
      </c>
      <c r="Z5" t="s">
        <v>124</v>
      </c>
      <c r="AA5">
        <v>0</v>
      </c>
      <c r="AB5">
        <v>21</v>
      </c>
    </row>
    <row r="6" spans="1:28" x14ac:dyDescent="0.25">
      <c r="A6" t="s">
        <v>502</v>
      </c>
      <c r="B6">
        <v>4</v>
      </c>
      <c r="C6" t="s">
        <v>56</v>
      </c>
      <c r="D6">
        <v>3</v>
      </c>
      <c r="F6">
        <v>2</v>
      </c>
      <c r="G6" t="s">
        <v>57</v>
      </c>
      <c r="H6" t="s">
        <v>69</v>
      </c>
      <c r="I6" t="s">
        <v>85</v>
      </c>
      <c r="J6" t="s">
        <v>124</v>
      </c>
      <c r="K6" t="s">
        <v>53</v>
      </c>
      <c r="L6">
        <v>1</v>
      </c>
      <c r="M6">
        <v>3</v>
      </c>
      <c r="N6">
        <v>3</v>
      </c>
      <c r="O6" t="s">
        <v>112</v>
      </c>
      <c r="P6" t="s">
        <v>83</v>
      </c>
      <c r="Q6" t="s">
        <v>97</v>
      </c>
      <c r="R6" t="s">
        <v>115</v>
      </c>
      <c r="S6" t="s">
        <v>63</v>
      </c>
      <c r="T6">
        <v>3</v>
      </c>
      <c r="V6">
        <v>2</v>
      </c>
      <c r="W6" t="s">
        <v>103</v>
      </c>
      <c r="X6" t="s">
        <v>95</v>
      </c>
      <c r="Y6" t="s">
        <v>147</v>
      </c>
      <c r="Z6" t="s">
        <v>151</v>
      </c>
      <c r="AA6">
        <v>0</v>
      </c>
      <c r="AB6">
        <v>23</v>
      </c>
    </row>
    <row r="7" spans="1:28" x14ac:dyDescent="0.25">
      <c r="A7" t="s">
        <v>503</v>
      </c>
      <c r="B7">
        <v>5</v>
      </c>
      <c r="C7" t="s">
        <v>56</v>
      </c>
      <c r="D7">
        <v>3</v>
      </c>
      <c r="F7">
        <v>3</v>
      </c>
      <c r="G7" t="s">
        <v>120</v>
      </c>
      <c r="H7" t="s">
        <v>121</v>
      </c>
      <c r="I7" t="s">
        <v>123</v>
      </c>
      <c r="J7" t="s">
        <v>88</v>
      </c>
      <c r="K7" t="s">
        <v>53</v>
      </c>
      <c r="L7">
        <v>1</v>
      </c>
      <c r="M7">
        <v>3</v>
      </c>
      <c r="N7">
        <v>3</v>
      </c>
      <c r="O7" t="s">
        <v>112</v>
      </c>
      <c r="P7" t="s">
        <v>83</v>
      </c>
      <c r="Q7" t="s">
        <v>105</v>
      </c>
      <c r="S7" t="s">
        <v>38</v>
      </c>
      <c r="T7">
        <v>3</v>
      </c>
      <c r="U7">
        <v>3</v>
      </c>
      <c r="V7">
        <v>3</v>
      </c>
      <c r="W7" t="s">
        <v>39</v>
      </c>
      <c r="X7" t="s">
        <v>40</v>
      </c>
      <c r="Y7" t="s">
        <v>41</v>
      </c>
      <c r="Z7" t="s">
        <v>156</v>
      </c>
      <c r="AA7">
        <v>0</v>
      </c>
      <c r="AB7">
        <v>27</v>
      </c>
    </row>
    <row r="8" spans="1:28" x14ac:dyDescent="0.25">
      <c r="A8" t="s">
        <v>504</v>
      </c>
      <c r="B8">
        <v>6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55</v>
      </c>
      <c r="I8" t="s">
        <v>105</v>
      </c>
      <c r="J8" t="s">
        <v>98</v>
      </c>
      <c r="K8" t="s">
        <v>48</v>
      </c>
      <c r="L8">
        <v>3</v>
      </c>
      <c r="N8">
        <v>3</v>
      </c>
      <c r="O8" t="s">
        <v>126</v>
      </c>
      <c r="P8" t="s">
        <v>71</v>
      </c>
      <c r="Q8" t="s">
        <v>51</v>
      </c>
      <c r="R8" t="s">
        <v>128</v>
      </c>
      <c r="S8" t="s">
        <v>33</v>
      </c>
      <c r="T8">
        <v>3</v>
      </c>
      <c r="V8">
        <v>3</v>
      </c>
      <c r="W8" t="s">
        <v>65</v>
      </c>
      <c r="X8" t="s">
        <v>130</v>
      </c>
      <c r="Y8" t="s">
        <v>36</v>
      </c>
      <c r="Z8" t="s">
        <v>133</v>
      </c>
      <c r="AA8">
        <v>0</v>
      </c>
      <c r="AB8">
        <v>51</v>
      </c>
    </row>
    <row r="9" spans="1:28" x14ac:dyDescent="0.25">
      <c r="A9" t="s">
        <v>505</v>
      </c>
      <c r="B9">
        <v>7</v>
      </c>
      <c r="C9" t="s">
        <v>43</v>
      </c>
      <c r="D9">
        <v>3</v>
      </c>
      <c r="F9">
        <v>3</v>
      </c>
      <c r="G9" t="s">
        <v>44</v>
      </c>
      <c r="H9" t="s">
        <v>136</v>
      </c>
      <c r="I9" t="s">
        <v>137</v>
      </c>
      <c r="J9" t="s">
        <v>138</v>
      </c>
      <c r="K9" t="s">
        <v>53</v>
      </c>
      <c r="L9">
        <v>3</v>
      </c>
      <c r="M9">
        <v>3</v>
      </c>
      <c r="N9">
        <v>3</v>
      </c>
      <c r="O9" t="s">
        <v>112</v>
      </c>
      <c r="P9" t="s">
        <v>83</v>
      </c>
      <c r="Q9" t="s">
        <v>105</v>
      </c>
      <c r="R9" t="s">
        <v>98</v>
      </c>
      <c r="S9" t="s">
        <v>48</v>
      </c>
      <c r="T9">
        <v>3</v>
      </c>
      <c r="V9">
        <v>3</v>
      </c>
      <c r="W9" t="s">
        <v>126</v>
      </c>
      <c r="X9" t="s">
        <v>71</v>
      </c>
      <c r="Y9" t="s">
        <v>51</v>
      </c>
      <c r="Z9" t="s">
        <v>128</v>
      </c>
      <c r="AA9">
        <v>0</v>
      </c>
      <c r="AB9">
        <v>39</v>
      </c>
    </row>
    <row r="10" spans="1:28" x14ac:dyDescent="0.25">
      <c r="A10" t="s">
        <v>506</v>
      </c>
      <c r="B10">
        <v>8</v>
      </c>
      <c r="C10" t="s">
        <v>45</v>
      </c>
      <c r="D10">
        <v>3</v>
      </c>
      <c r="F10">
        <v>3</v>
      </c>
      <c r="G10" t="s">
        <v>86</v>
      </c>
      <c r="H10" t="s">
        <v>92</v>
      </c>
      <c r="I10" t="s">
        <v>142</v>
      </c>
      <c r="J10" t="s">
        <v>94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55</v>
      </c>
      <c r="Q10" t="s">
        <v>105</v>
      </c>
      <c r="S10" t="s">
        <v>48</v>
      </c>
      <c r="T10">
        <v>3</v>
      </c>
      <c r="V10">
        <v>3</v>
      </c>
      <c r="W10" t="s">
        <v>49</v>
      </c>
      <c r="X10" t="s">
        <v>71</v>
      </c>
      <c r="Y10" t="s">
        <v>90</v>
      </c>
      <c r="Z10" t="s">
        <v>52</v>
      </c>
      <c r="AA10">
        <v>0</v>
      </c>
      <c r="AB10">
        <v>30</v>
      </c>
    </row>
    <row r="11" spans="1:28" x14ac:dyDescent="0.25">
      <c r="A11" t="s">
        <v>507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114</v>
      </c>
      <c r="J11" t="s">
        <v>115</v>
      </c>
      <c r="K11" t="s">
        <v>48</v>
      </c>
      <c r="L11">
        <v>3</v>
      </c>
      <c r="N11">
        <v>3</v>
      </c>
      <c r="O11" t="s">
        <v>49</v>
      </c>
      <c r="P11" t="s">
        <v>71</v>
      </c>
      <c r="Q11" t="s">
        <v>90</v>
      </c>
      <c r="R11" t="s">
        <v>52</v>
      </c>
      <c r="S11" t="s">
        <v>63</v>
      </c>
      <c r="T11">
        <v>3</v>
      </c>
      <c r="V11">
        <v>3</v>
      </c>
      <c r="W11" t="s">
        <v>72</v>
      </c>
      <c r="X11" t="s">
        <v>95</v>
      </c>
      <c r="Y11" t="s">
        <v>147</v>
      </c>
      <c r="Z11" t="s">
        <v>151</v>
      </c>
      <c r="AA11">
        <v>0</v>
      </c>
      <c r="AB11">
        <v>44</v>
      </c>
    </row>
    <row r="12" spans="1:28" x14ac:dyDescent="0.25">
      <c r="A12" t="s">
        <v>508</v>
      </c>
      <c r="B12">
        <v>10</v>
      </c>
      <c r="C12" t="s">
        <v>53</v>
      </c>
      <c r="D12">
        <v>3</v>
      </c>
      <c r="E12">
        <v>2</v>
      </c>
      <c r="F12">
        <v>3</v>
      </c>
      <c r="G12" t="s">
        <v>112</v>
      </c>
      <c r="H12" t="s">
        <v>55</v>
      </c>
      <c r="I12" t="s">
        <v>114</v>
      </c>
      <c r="J12" t="s">
        <v>115</v>
      </c>
      <c r="K12" t="s">
        <v>48</v>
      </c>
      <c r="L12">
        <v>2</v>
      </c>
      <c r="N12">
        <v>2</v>
      </c>
      <c r="O12" t="s">
        <v>49</v>
      </c>
      <c r="P12" t="s">
        <v>71</v>
      </c>
      <c r="Q12" t="s">
        <v>90</v>
      </c>
      <c r="R12" t="s">
        <v>52</v>
      </c>
      <c r="S12" t="s">
        <v>38</v>
      </c>
      <c r="T12">
        <v>3</v>
      </c>
      <c r="U12">
        <v>2</v>
      </c>
      <c r="V12">
        <v>3</v>
      </c>
      <c r="W12" t="s">
        <v>39</v>
      </c>
      <c r="X12" t="s">
        <v>40</v>
      </c>
      <c r="Y12" t="s">
        <v>41</v>
      </c>
      <c r="Z12" t="s">
        <v>156</v>
      </c>
      <c r="AA12">
        <v>0</v>
      </c>
      <c r="AB12">
        <v>26</v>
      </c>
    </row>
    <row r="13" spans="1:28" x14ac:dyDescent="0.25">
      <c r="A13" t="s">
        <v>509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114</v>
      </c>
      <c r="J13" t="s">
        <v>115</v>
      </c>
      <c r="K13" t="s">
        <v>33</v>
      </c>
      <c r="L13">
        <v>3</v>
      </c>
      <c r="N13">
        <v>3</v>
      </c>
      <c r="O13" t="s">
        <v>65</v>
      </c>
      <c r="P13" t="s">
        <v>130</v>
      </c>
      <c r="Q13" t="s">
        <v>36</v>
      </c>
      <c r="R13" t="s">
        <v>134</v>
      </c>
      <c r="S13" t="s">
        <v>43</v>
      </c>
      <c r="T13">
        <v>1</v>
      </c>
      <c r="V13">
        <v>3</v>
      </c>
      <c r="W13" t="s">
        <v>44</v>
      </c>
      <c r="X13" t="s">
        <v>136</v>
      </c>
      <c r="AA13">
        <v>0</v>
      </c>
      <c r="AB13">
        <v>25</v>
      </c>
    </row>
    <row r="14" spans="1:28" x14ac:dyDescent="0.25">
      <c r="A14" t="s">
        <v>510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55</v>
      </c>
      <c r="I14" t="s">
        <v>97</v>
      </c>
      <c r="J14" t="s">
        <v>98</v>
      </c>
      <c r="K14" t="s">
        <v>33</v>
      </c>
      <c r="L14">
        <v>3</v>
      </c>
      <c r="N14">
        <v>3</v>
      </c>
      <c r="O14" t="s">
        <v>65</v>
      </c>
      <c r="P14" t="s">
        <v>130</v>
      </c>
      <c r="Q14" t="s">
        <v>131</v>
      </c>
      <c r="R14" t="s">
        <v>133</v>
      </c>
      <c r="S14" t="s">
        <v>45</v>
      </c>
      <c r="T14">
        <v>3</v>
      </c>
      <c r="V14">
        <v>3</v>
      </c>
      <c r="W14" t="s">
        <v>86</v>
      </c>
      <c r="X14" t="s">
        <v>92</v>
      </c>
      <c r="Y14" t="s">
        <v>142</v>
      </c>
      <c r="Z14" t="s">
        <v>143</v>
      </c>
      <c r="AA14">
        <v>0</v>
      </c>
      <c r="AB14">
        <v>44</v>
      </c>
    </row>
    <row r="15" spans="1:28" x14ac:dyDescent="0.25">
      <c r="A15" t="s">
        <v>511</v>
      </c>
      <c r="B15">
        <v>13</v>
      </c>
      <c r="C15" t="s">
        <v>33</v>
      </c>
      <c r="D15">
        <v>3</v>
      </c>
      <c r="F15">
        <v>3</v>
      </c>
      <c r="G15" t="s">
        <v>34</v>
      </c>
      <c r="H15" t="s">
        <v>130</v>
      </c>
      <c r="I15" t="s">
        <v>131</v>
      </c>
      <c r="J15" t="s">
        <v>134</v>
      </c>
      <c r="K15" t="s">
        <v>53</v>
      </c>
      <c r="L15">
        <v>1</v>
      </c>
      <c r="M15">
        <v>3</v>
      </c>
      <c r="N15">
        <v>3</v>
      </c>
      <c r="O15" t="s">
        <v>112</v>
      </c>
      <c r="P15" t="s">
        <v>83</v>
      </c>
      <c r="S15" t="s">
        <v>63</v>
      </c>
      <c r="T15">
        <v>3</v>
      </c>
      <c r="V15">
        <v>3</v>
      </c>
      <c r="W15" t="s">
        <v>72</v>
      </c>
      <c r="X15" t="s">
        <v>146</v>
      </c>
      <c r="Y15" t="s">
        <v>104</v>
      </c>
      <c r="Z15" t="s">
        <v>151</v>
      </c>
      <c r="AA15">
        <v>0</v>
      </c>
      <c r="AB15">
        <v>25</v>
      </c>
    </row>
    <row r="16" spans="1:28" x14ac:dyDescent="0.25">
      <c r="A16" t="s">
        <v>512</v>
      </c>
      <c r="B16">
        <v>14</v>
      </c>
      <c r="C16" t="s">
        <v>53</v>
      </c>
      <c r="D16">
        <v>3</v>
      </c>
      <c r="E16">
        <v>1</v>
      </c>
      <c r="F16">
        <v>2</v>
      </c>
      <c r="G16" t="s">
        <v>112</v>
      </c>
      <c r="H16" t="s">
        <v>55</v>
      </c>
      <c r="I16" t="s">
        <v>114</v>
      </c>
      <c r="K16" t="s">
        <v>33</v>
      </c>
      <c r="L16">
        <v>2</v>
      </c>
      <c r="N16">
        <v>2</v>
      </c>
      <c r="O16" t="s">
        <v>65</v>
      </c>
      <c r="P16" t="s">
        <v>130</v>
      </c>
      <c r="Q16" t="s">
        <v>36</v>
      </c>
      <c r="R16" t="s">
        <v>134</v>
      </c>
      <c r="S16" t="s">
        <v>38</v>
      </c>
      <c r="T16">
        <v>1</v>
      </c>
      <c r="U16">
        <v>1</v>
      </c>
      <c r="V16">
        <v>2</v>
      </c>
      <c r="W16" t="s">
        <v>39</v>
      </c>
      <c r="X16" t="s">
        <v>40</v>
      </c>
      <c r="Y16" t="s">
        <v>153</v>
      </c>
      <c r="AA16">
        <v>0</v>
      </c>
      <c r="AB16">
        <v>16</v>
      </c>
    </row>
    <row r="17" spans="1:28" x14ac:dyDescent="0.25">
      <c r="A17" t="s">
        <v>513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55</v>
      </c>
      <c r="I17" t="s">
        <v>114</v>
      </c>
      <c r="J17" t="s">
        <v>115</v>
      </c>
      <c r="K17" t="s">
        <v>43</v>
      </c>
      <c r="L17">
        <v>3</v>
      </c>
      <c r="N17">
        <v>3</v>
      </c>
      <c r="O17" t="s">
        <v>135</v>
      </c>
      <c r="P17" t="s">
        <v>74</v>
      </c>
      <c r="Q17" t="s">
        <v>75</v>
      </c>
      <c r="R17" t="s">
        <v>139</v>
      </c>
      <c r="S17" t="s">
        <v>45</v>
      </c>
      <c r="T17">
        <v>3</v>
      </c>
      <c r="V17">
        <v>3</v>
      </c>
      <c r="W17" t="s">
        <v>86</v>
      </c>
      <c r="X17" t="s">
        <v>92</v>
      </c>
      <c r="Y17" t="s">
        <v>142</v>
      </c>
      <c r="Z17" t="s">
        <v>94</v>
      </c>
      <c r="AA17">
        <v>0</v>
      </c>
      <c r="AB17">
        <v>47</v>
      </c>
    </row>
    <row r="18" spans="1:28" x14ac:dyDescent="0.25">
      <c r="A18" t="s">
        <v>514</v>
      </c>
      <c r="B18">
        <v>16</v>
      </c>
      <c r="C18" t="s">
        <v>63</v>
      </c>
      <c r="D18">
        <v>3</v>
      </c>
      <c r="F18">
        <v>3</v>
      </c>
      <c r="G18" t="s">
        <v>103</v>
      </c>
      <c r="H18" t="s">
        <v>95</v>
      </c>
      <c r="I18" t="s">
        <v>147</v>
      </c>
      <c r="J18" t="s">
        <v>150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55</v>
      </c>
      <c r="S18" t="s">
        <v>43</v>
      </c>
      <c r="T18">
        <v>3</v>
      </c>
      <c r="V18">
        <v>3</v>
      </c>
      <c r="W18" t="s">
        <v>44</v>
      </c>
      <c r="X18" t="s">
        <v>136</v>
      </c>
      <c r="Y18" t="s">
        <v>137</v>
      </c>
      <c r="Z18" t="s">
        <v>138</v>
      </c>
      <c r="AA18">
        <v>0</v>
      </c>
      <c r="AB18">
        <v>29</v>
      </c>
    </row>
    <row r="19" spans="1:28" x14ac:dyDescent="0.25">
      <c r="A19" t="s">
        <v>515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83</v>
      </c>
      <c r="I19" t="s">
        <v>97</v>
      </c>
      <c r="J19" t="s">
        <v>98</v>
      </c>
      <c r="K19" t="s">
        <v>43</v>
      </c>
      <c r="L19">
        <v>3</v>
      </c>
      <c r="N19">
        <v>3</v>
      </c>
      <c r="O19" t="s">
        <v>44</v>
      </c>
      <c r="P19" t="s">
        <v>74</v>
      </c>
      <c r="Q19" t="s">
        <v>75</v>
      </c>
      <c r="R19" t="s">
        <v>139</v>
      </c>
      <c r="S19" t="s">
        <v>38</v>
      </c>
      <c r="T19">
        <v>3</v>
      </c>
      <c r="U19">
        <v>3</v>
      </c>
      <c r="V19">
        <v>3</v>
      </c>
      <c r="W19" t="s">
        <v>39</v>
      </c>
      <c r="X19" t="s">
        <v>40</v>
      </c>
      <c r="Y19" t="s">
        <v>154</v>
      </c>
      <c r="Z19" t="s">
        <v>155</v>
      </c>
      <c r="AA19">
        <v>0</v>
      </c>
      <c r="AB19">
        <v>56</v>
      </c>
    </row>
    <row r="20" spans="1:28" x14ac:dyDescent="0.25">
      <c r="A20" t="s">
        <v>516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55</v>
      </c>
      <c r="I20" t="s">
        <v>114</v>
      </c>
      <c r="J20" t="s">
        <v>98</v>
      </c>
      <c r="K20" t="s">
        <v>45</v>
      </c>
      <c r="L20">
        <v>3</v>
      </c>
      <c r="N20">
        <v>3</v>
      </c>
      <c r="O20" t="s">
        <v>86</v>
      </c>
      <c r="P20" t="s">
        <v>141</v>
      </c>
      <c r="Q20" t="s">
        <v>142</v>
      </c>
      <c r="R20" t="s">
        <v>143</v>
      </c>
      <c r="S20" t="s">
        <v>63</v>
      </c>
      <c r="T20">
        <v>3</v>
      </c>
      <c r="V20">
        <v>3</v>
      </c>
      <c r="W20" t="s">
        <v>103</v>
      </c>
      <c r="X20" t="s">
        <v>95</v>
      </c>
      <c r="Y20" t="s">
        <v>147</v>
      </c>
      <c r="Z20" t="s">
        <v>151</v>
      </c>
      <c r="AA20">
        <v>0</v>
      </c>
      <c r="AB20">
        <v>30</v>
      </c>
    </row>
    <row r="21" spans="1:28" x14ac:dyDescent="0.25">
      <c r="A21" t="s">
        <v>517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105</v>
      </c>
      <c r="J21" t="s">
        <v>98</v>
      </c>
      <c r="K21" t="s">
        <v>45</v>
      </c>
      <c r="L21">
        <v>3</v>
      </c>
      <c r="N21">
        <v>3</v>
      </c>
      <c r="O21" t="s">
        <v>86</v>
      </c>
      <c r="P21" t="s">
        <v>141</v>
      </c>
      <c r="Q21" t="s">
        <v>142</v>
      </c>
      <c r="R21" t="s">
        <v>143</v>
      </c>
      <c r="S21" t="s">
        <v>38</v>
      </c>
      <c r="T21">
        <v>3</v>
      </c>
      <c r="U21">
        <v>3</v>
      </c>
      <c r="V21">
        <v>3</v>
      </c>
      <c r="W21" t="s">
        <v>39</v>
      </c>
      <c r="X21" t="s">
        <v>40</v>
      </c>
      <c r="Y21" t="s">
        <v>41</v>
      </c>
      <c r="Z21" t="s">
        <v>155</v>
      </c>
      <c r="AA21">
        <v>0</v>
      </c>
      <c r="AB21">
        <v>40</v>
      </c>
    </row>
    <row r="22" spans="1:28" x14ac:dyDescent="0.25">
      <c r="A22" t="s">
        <v>518</v>
      </c>
      <c r="B22">
        <v>20</v>
      </c>
      <c r="C22" t="s">
        <v>63</v>
      </c>
      <c r="D22">
        <v>3</v>
      </c>
      <c r="F22">
        <v>3</v>
      </c>
      <c r="G22" t="s">
        <v>103</v>
      </c>
      <c r="H22" t="s">
        <v>95</v>
      </c>
      <c r="I22" t="s">
        <v>147</v>
      </c>
      <c r="J22" t="s">
        <v>149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114</v>
      </c>
      <c r="R22" t="s">
        <v>98</v>
      </c>
      <c r="S22" t="s">
        <v>38</v>
      </c>
      <c r="T22">
        <v>3</v>
      </c>
      <c r="U22">
        <v>3</v>
      </c>
      <c r="V22">
        <v>3</v>
      </c>
      <c r="W22" t="s">
        <v>39</v>
      </c>
      <c r="X22" t="s">
        <v>40</v>
      </c>
      <c r="Y22" t="s">
        <v>41</v>
      </c>
      <c r="Z22" t="s">
        <v>156</v>
      </c>
      <c r="AA22">
        <v>0</v>
      </c>
      <c r="AB22">
        <v>52</v>
      </c>
    </row>
    <row r="23" spans="1:28" x14ac:dyDescent="0.25">
      <c r="A23" t="s">
        <v>519</v>
      </c>
      <c r="B23">
        <v>21</v>
      </c>
      <c r="C23" t="s">
        <v>33</v>
      </c>
      <c r="D23">
        <v>3</v>
      </c>
      <c r="F23">
        <v>3</v>
      </c>
      <c r="G23" t="s">
        <v>65</v>
      </c>
      <c r="H23" t="s">
        <v>130</v>
      </c>
      <c r="I23" t="s">
        <v>36</v>
      </c>
      <c r="J23" t="s">
        <v>133</v>
      </c>
      <c r="K23" t="s">
        <v>56</v>
      </c>
      <c r="L23">
        <v>2</v>
      </c>
      <c r="N23">
        <v>2</v>
      </c>
      <c r="O23" t="s">
        <v>120</v>
      </c>
      <c r="P23" t="s">
        <v>69</v>
      </c>
      <c r="Q23" t="s">
        <v>87</v>
      </c>
      <c r="S23" t="s">
        <v>48</v>
      </c>
      <c r="T23">
        <v>3</v>
      </c>
      <c r="V23">
        <v>3</v>
      </c>
      <c r="W23" t="s">
        <v>126</v>
      </c>
      <c r="X23" t="s">
        <v>84</v>
      </c>
      <c r="Y23" t="s">
        <v>127</v>
      </c>
      <c r="Z23" t="s">
        <v>52</v>
      </c>
      <c r="AA23">
        <v>0</v>
      </c>
      <c r="AB23">
        <v>28</v>
      </c>
    </row>
    <row r="24" spans="1:28" x14ac:dyDescent="0.25">
      <c r="A24" t="s">
        <v>520</v>
      </c>
      <c r="B24">
        <v>22</v>
      </c>
      <c r="C24" t="s">
        <v>56</v>
      </c>
      <c r="D24">
        <v>2</v>
      </c>
      <c r="F24">
        <v>2</v>
      </c>
      <c r="G24" t="s">
        <v>120</v>
      </c>
      <c r="H24" t="s">
        <v>121</v>
      </c>
      <c r="I24" t="s">
        <v>123</v>
      </c>
      <c r="J24" t="s">
        <v>124</v>
      </c>
      <c r="K24" t="s">
        <v>48</v>
      </c>
      <c r="L24">
        <v>1</v>
      </c>
      <c r="N24">
        <v>1</v>
      </c>
      <c r="O24" t="s">
        <v>126</v>
      </c>
      <c r="P24" t="s">
        <v>84</v>
      </c>
      <c r="Q24" t="s">
        <v>127</v>
      </c>
      <c r="R24" t="s">
        <v>128</v>
      </c>
      <c r="S24" t="s">
        <v>43</v>
      </c>
      <c r="T24">
        <v>3</v>
      </c>
      <c r="V24">
        <v>2</v>
      </c>
      <c r="W24" t="s">
        <v>44</v>
      </c>
      <c r="X24" t="s">
        <v>136</v>
      </c>
      <c r="Y24" t="s">
        <v>137</v>
      </c>
      <c r="AA24">
        <v>0</v>
      </c>
      <c r="AB24">
        <v>17</v>
      </c>
    </row>
    <row r="25" spans="1:28" x14ac:dyDescent="0.25">
      <c r="A25" t="s">
        <v>521</v>
      </c>
      <c r="B25">
        <v>23</v>
      </c>
      <c r="C25" t="s">
        <v>56</v>
      </c>
      <c r="D25">
        <v>3</v>
      </c>
      <c r="F25">
        <v>3</v>
      </c>
      <c r="G25" t="s">
        <v>120</v>
      </c>
      <c r="H25" t="s">
        <v>121</v>
      </c>
      <c r="I25" t="s">
        <v>123</v>
      </c>
      <c r="J25" t="s">
        <v>124</v>
      </c>
      <c r="K25" t="s">
        <v>48</v>
      </c>
      <c r="L25">
        <v>1</v>
      </c>
      <c r="N25">
        <v>3</v>
      </c>
      <c r="O25" t="s">
        <v>126</v>
      </c>
      <c r="P25" t="s">
        <v>84</v>
      </c>
      <c r="Q25" t="s">
        <v>90</v>
      </c>
      <c r="R25" t="s">
        <v>128</v>
      </c>
      <c r="S25" t="s">
        <v>45</v>
      </c>
      <c r="T25">
        <v>3</v>
      </c>
      <c r="V25">
        <v>2</v>
      </c>
      <c r="W25" t="s">
        <v>86</v>
      </c>
      <c r="X25" t="s">
        <v>92</v>
      </c>
      <c r="Y25" t="s">
        <v>142</v>
      </c>
      <c r="Z25" t="s">
        <v>143</v>
      </c>
      <c r="AA25">
        <v>0</v>
      </c>
      <c r="AB25">
        <v>22</v>
      </c>
    </row>
    <row r="26" spans="1:28" x14ac:dyDescent="0.25">
      <c r="A26" t="s">
        <v>522</v>
      </c>
      <c r="B26">
        <v>24</v>
      </c>
      <c r="C26" t="s">
        <v>56</v>
      </c>
      <c r="D26">
        <v>3</v>
      </c>
      <c r="F26">
        <v>3</v>
      </c>
      <c r="G26" t="s">
        <v>120</v>
      </c>
      <c r="H26" t="s">
        <v>69</v>
      </c>
      <c r="I26" t="s">
        <v>87</v>
      </c>
      <c r="J26" t="s">
        <v>125</v>
      </c>
      <c r="K26" t="s">
        <v>48</v>
      </c>
      <c r="L26">
        <v>3</v>
      </c>
      <c r="N26">
        <v>3</v>
      </c>
      <c r="O26" t="s">
        <v>89</v>
      </c>
      <c r="P26" t="s">
        <v>50</v>
      </c>
      <c r="Q26" t="s">
        <v>127</v>
      </c>
      <c r="R26" t="s">
        <v>52</v>
      </c>
      <c r="S26" t="s">
        <v>63</v>
      </c>
      <c r="T26">
        <v>3</v>
      </c>
      <c r="V26">
        <v>2</v>
      </c>
      <c r="W26" t="s">
        <v>72</v>
      </c>
      <c r="X26" t="s">
        <v>146</v>
      </c>
      <c r="Y26" t="s">
        <v>148</v>
      </c>
      <c r="Z26" t="s">
        <v>151</v>
      </c>
      <c r="AA26">
        <v>0</v>
      </c>
      <c r="AB26">
        <v>29</v>
      </c>
    </row>
    <row r="27" spans="1:28" x14ac:dyDescent="0.25">
      <c r="A27" t="s">
        <v>523</v>
      </c>
      <c r="B27">
        <v>25</v>
      </c>
      <c r="C27" t="s">
        <v>56</v>
      </c>
      <c r="D27">
        <v>2</v>
      </c>
      <c r="F27">
        <v>2</v>
      </c>
      <c r="G27" t="s">
        <v>120</v>
      </c>
      <c r="H27" t="s">
        <v>121</v>
      </c>
      <c r="I27" t="s">
        <v>123</v>
      </c>
      <c r="J27" t="s">
        <v>124</v>
      </c>
      <c r="K27" t="s">
        <v>48</v>
      </c>
      <c r="L27">
        <v>1</v>
      </c>
      <c r="N27">
        <v>3</v>
      </c>
      <c r="O27" t="s">
        <v>126</v>
      </c>
      <c r="P27" t="s">
        <v>84</v>
      </c>
      <c r="Q27" t="s">
        <v>127</v>
      </c>
      <c r="R27" t="s">
        <v>52</v>
      </c>
      <c r="S27" t="s">
        <v>38</v>
      </c>
      <c r="T27">
        <v>1</v>
      </c>
      <c r="U27">
        <v>1</v>
      </c>
      <c r="V27">
        <v>1</v>
      </c>
      <c r="W27" t="s">
        <v>39</v>
      </c>
      <c r="X27" t="s">
        <v>40</v>
      </c>
      <c r="Y27" t="s">
        <v>41</v>
      </c>
      <c r="Z27" t="s">
        <v>156</v>
      </c>
      <c r="AA27">
        <v>0</v>
      </c>
      <c r="AB27">
        <v>16</v>
      </c>
    </row>
    <row r="28" spans="1:28" x14ac:dyDescent="0.25">
      <c r="A28" t="s">
        <v>524</v>
      </c>
      <c r="B28">
        <v>26</v>
      </c>
      <c r="C28" t="s">
        <v>33</v>
      </c>
      <c r="D28">
        <v>3</v>
      </c>
      <c r="F28">
        <v>3</v>
      </c>
      <c r="G28" t="s">
        <v>65</v>
      </c>
      <c r="H28" t="s">
        <v>66</v>
      </c>
      <c r="I28" t="s">
        <v>131</v>
      </c>
      <c r="K28" t="s">
        <v>56</v>
      </c>
      <c r="L28">
        <v>3</v>
      </c>
      <c r="N28">
        <v>3</v>
      </c>
      <c r="O28" t="s">
        <v>120</v>
      </c>
      <c r="P28" t="s">
        <v>69</v>
      </c>
      <c r="Q28" t="s">
        <v>87</v>
      </c>
      <c r="S28" t="s">
        <v>43</v>
      </c>
      <c r="T28">
        <v>1</v>
      </c>
      <c r="V28">
        <v>2</v>
      </c>
      <c r="W28" t="s">
        <v>44</v>
      </c>
      <c r="X28" t="s">
        <v>136</v>
      </c>
      <c r="Y28" t="s">
        <v>100</v>
      </c>
      <c r="Z28" t="s">
        <v>138</v>
      </c>
      <c r="AA28">
        <v>0</v>
      </c>
      <c r="AB28">
        <v>20</v>
      </c>
    </row>
    <row r="29" spans="1:28" x14ac:dyDescent="0.25">
      <c r="A29" t="s">
        <v>525</v>
      </c>
      <c r="B29">
        <v>27</v>
      </c>
      <c r="C29" t="s">
        <v>56</v>
      </c>
      <c r="D29">
        <v>3</v>
      </c>
      <c r="F29">
        <v>3</v>
      </c>
      <c r="G29" t="s">
        <v>120</v>
      </c>
      <c r="H29" t="s">
        <v>69</v>
      </c>
      <c r="I29" t="s">
        <v>87</v>
      </c>
      <c r="J29" t="s">
        <v>124</v>
      </c>
      <c r="K29" t="s">
        <v>33</v>
      </c>
      <c r="L29">
        <v>1</v>
      </c>
      <c r="N29">
        <v>3</v>
      </c>
      <c r="O29" t="s">
        <v>65</v>
      </c>
      <c r="P29" t="s">
        <v>130</v>
      </c>
      <c r="Q29" t="s">
        <v>131</v>
      </c>
      <c r="S29" t="s">
        <v>45</v>
      </c>
      <c r="T29">
        <v>3</v>
      </c>
      <c r="V29">
        <v>3</v>
      </c>
      <c r="W29" t="s">
        <v>86</v>
      </c>
      <c r="X29" t="s">
        <v>141</v>
      </c>
      <c r="Y29" t="s">
        <v>142</v>
      </c>
      <c r="Z29" t="s">
        <v>144</v>
      </c>
      <c r="AA29">
        <v>0</v>
      </c>
      <c r="AB29">
        <v>25</v>
      </c>
    </row>
    <row r="30" spans="1:28" x14ac:dyDescent="0.25">
      <c r="A30" t="s">
        <v>526</v>
      </c>
      <c r="B30">
        <v>28</v>
      </c>
      <c r="C30" t="s">
        <v>63</v>
      </c>
      <c r="D30">
        <v>2</v>
      </c>
      <c r="F30">
        <v>3</v>
      </c>
      <c r="G30" t="s">
        <v>145</v>
      </c>
      <c r="H30" t="s">
        <v>146</v>
      </c>
      <c r="I30" t="s">
        <v>104</v>
      </c>
      <c r="J30" t="s">
        <v>149</v>
      </c>
      <c r="K30" t="s">
        <v>56</v>
      </c>
      <c r="L30">
        <v>3</v>
      </c>
      <c r="N30">
        <v>2</v>
      </c>
      <c r="O30" t="s">
        <v>68</v>
      </c>
      <c r="P30" t="s">
        <v>69</v>
      </c>
      <c r="Q30" t="s">
        <v>123</v>
      </c>
      <c r="R30" t="s">
        <v>124</v>
      </c>
      <c r="S30" t="s">
        <v>33</v>
      </c>
      <c r="T30">
        <v>2</v>
      </c>
      <c r="V30">
        <v>2</v>
      </c>
      <c r="W30" t="s">
        <v>34</v>
      </c>
      <c r="AA30">
        <v>0</v>
      </c>
      <c r="AB30">
        <v>19</v>
      </c>
    </row>
    <row r="31" spans="1:28" x14ac:dyDescent="0.25">
      <c r="A31" t="s">
        <v>527</v>
      </c>
      <c r="B31">
        <v>29</v>
      </c>
      <c r="C31" t="s">
        <v>38</v>
      </c>
      <c r="D31">
        <v>3</v>
      </c>
      <c r="E31">
        <v>1</v>
      </c>
      <c r="F31">
        <v>3</v>
      </c>
      <c r="G31" t="s">
        <v>39</v>
      </c>
      <c r="H31" t="s">
        <v>40</v>
      </c>
      <c r="I31" t="s">
        <v>153</v>
      </c>
      <c r="J31" t="s">
        <v>156</v>
      </c>
      <c r="K31" t="s">
        <v>56</v>
      </c>
      <c r="L31">
        <v>2</v>
      </c>
      <c r="N31">
        <v>2</v>
      </c>
      <c r="O31" t="s">
        <v>120</v>
      </c>
      <c r="P31" t="s">
        <v>69</v>
      </c>
      <c r="Q31" t="s">
        <v>87</v>
      </c>
      <c r="S31" t="s">
        <v>33</v>
      </c>
      <c r="T31">
        <v>3</v>
      </c>
      <c r="V31">
        <v>3</v>
      </c>
      <c r="W31" t="s">
        <v>65</v>
      </c>
      <c r="X31" t="s">
        <v>66</v>
      </c>
      <c r="Y31" t="s">
        <v>131</v>
      </c>
      <c r="Z31" t="s">
        <v>133</v>
      </c>
      <c r="AA31">
        <v>0</v>
      </c>
      <c r="AB31">
        <v>22</v>
      </c>
    </row>
    <row r="32" spans="1:28" x14ac:dyDescent="0.25">
      <c r="A32" t="s">
        <v>528</v>
      </c>
      <c r="B32">
        <v>30</v>
      </c>
      <c r="C32" t="s">
        <v>56</v>
      </c>
      <c r="D32">
        <v>3</v>
      </c>
      <c r="F32">
        <v>3</v>
      </c>
      <c r="G32" t="s">
        <v>120</v>
      </c>
      <c r="H32" t="s">
        <v>69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137</v>
      </c>
      <c r="S32" t="s">
        <v>45</v>
      </c>
      <c r="T32">
        <v>3</v>
      </c>
      <c r="V32">
        <v>3</v>
      </c>
      <c r="W32" t="s">
        <v>140</v>
      </c>
      <c r="X32" t="s">
        <v>141</v>
      </c>
      <c r="AA32">
        <v>0</v>
      </c>
      <c r="AB32">
        <v>15</v>
      </c>
    </row>
    <row r="33" spans="1:28" x14ac:dyDescent="0.25">
      <c r="A33" t="s">
        <v>529</v>
      </c>
      <c r="B33">
        <v>31</v>
      </c>
      <c r="C33" t="s">
        <v>56</v>
      </c>
      <c r="D33">
        <v>3</v>
      </c>
      <c r="F33">
        <v>3</v>
      </c>
      <c r="G33" t="s">
        <v>120</v>
      </c>
      <c r="H33" t="s">
        <v>69</v>
      </c>
      <c r="I33" t="s">
        <v>87</v>
      </c>
      <c r="J33" t="s">
        <v>88</v>
      </c>
      <c r="K33" t="s">
        <v>43</v>
      </c>
      <c r="L33">
        <v>3</v>
      </c>
      <c r="N33">
        <v>3</v>
      </c>
      <c r="O33" t="s">
        <v>44</v>
      </c>
      <c r="P33" t="s">
        <v>136</v>
      </c>
      <c r="Q33" t="s">
        <v>137</v>
      </c>
      <c r="R33" t="s">
        <v>139</v>
      </c>
      <c r="S33" t="s">
        <v>63</v>
      </c>
      <c r="T33">
        <v>3</v>
      </c>
      <c r="V33">
        <v>3</v>
      </c>
      <c r="W33" t="s">
        <v>72</v>
      </c>
      <c r="X33" t="s">
        <v>146</v>
      </c>
      <c r="Y33" t="s">
        <v>148</v>
      </c>
      <c r="Z33" t="s">
        <v>151</v>
      </c>
      <c r="AA33">
        <v>0</v>
      </c>
      <c r="AB33">
        <v>35</v>
      </c>
    </row>
    <row r="34" spans="1:28" x14ac:dyDescent="0.25">
      <c r="A34" t="s">
        <v>530</v>
      </c>
      <c r="B34">
        <v>32</v>
      </c>
      <c r="C34" t="s">
        <v>56</v>
      </c>
      <c r="D34">
        <v>3</v>
      </c>
      <c r="F34">
        <v>3</v>
      </c>
      <c r="G34" t="s">
        <v>120</v>
      </c>
      <c r="H34" t="s">
        <v>69</v>
      </c>
      <c r="I34" t="s">
        <v>87</v>
      </c>
      <c r="J34" t="s">
        <v>125</v>
      </c>
      <c r="K34" t="s">
        <v>43</v>
      </c>
      <c r="L34">
        <v>3</v>
      </c>
      <c r="N34">
        <v>3</v>
      </c>
      <c r="O34" t="s">
        <v>73</v>
      </c>
      <c r="P34" t="s">
        <v>74</v>
      </c>
      <c r="Q34" t="s">
        <v>100</v>
      </c>
      <c r="R34" t="s">
        <v>101</v>
      </c>
      <c r="S34" t="s">
        <v>38</v>
      </c>
      <c r="T34">
        <v>3</v>
      </c>
      <c r="U34">
        <v>3</v>
      </c>
      <c r="V34">
        <v>3</v>
      </c>
      <c r="W34" t="s">
        <v>39</v>
      </c>
      <c r="X34" t="s">
        <v>40</v>
      </c>
      <c r="Y34" t="s">
        <v>154</v>
      </c>
      <c r="Z34" t="s">
        <v>156</v>
      </c>
      <c r="AA34">
        <v>0</v>
      </c>
      <c r="AB34">
        <v>33</v>
      </c>
    </row>
    <row r="35" spans="1:28" x14ac:dyDescent="0.25">
      <c r="A35" t="s">
        <v>531</v>
      </c>
      <c r="B35">
        <v>33</v>
      </c>
      <c r="C35" t="s">
        <v>56</v>
      </c>
      <c r="D35">
        <v>3</v>
      </c>
      <c r="F35">
        <v>2</v>
      </c>
      <c r="G35" t="s">
        <v>57</v>
      </c>
      <c r="H35" t="s">
        <v>69</v>
      </c>
      <c r="I35" t="s">
        <v>87</v>
      </c>
      <c r="K35" t="s">
        <v>45</v>
      </c>
      <c r="L35">
        <v>3</v>
      </c>
      <c r="N35">
        <v>2</v>
      </c>
      <c r="O35" t="s">
        <v>86</v>
      </c>
      <c r="P35" t="s">
        <v>141</v>
      </c>
      <c r="Q35" t="s">
        <v>93</v>
      </c>
      <c r="R35" t="s">
        <v>144</v>
      </c>
      <c r="S35" t="s">
        <v>63</v>
      </c>
      <c r="T35">
        <v>1</v>
      </c>
      <c r="V35">
        <v>3</v>
      </c>
      <c r="W35" t="s">
        <v>103</v>
      </c>
      <c r="X35" t="s">
        <v>146</v>
      </c>
      <c r="Y35" t="s">
        <v>104</v>
      </c>
      <c r="AA35">
        <v>0</v>
      </c>
      <c r="AB35">
        <v>19</v>
      </c>
    </row>
    <row r="36" spans="1:28" x14ac:dyDescent="0.25">
      <c r="A36" t="s">
        <v>532</v>
      </c>
      <c r="B36">
        <v>34</v>
      </c>
      <c r="C36" t="s">
        <v>38</v>
      </c>
      <c r="D36">
        <v>2</v>
      </c>
      <c r="E36">
        <v>3</v>
      </c>
      <c r="F36">
        <v>2</v>
      </c>
      <c r="G36" t="s">
        <v>39</v>
      </c>
      <c r="H36" t="s">
        <v>96</v>
      </c>
      <c r="I36" t="s">
        <v>153</v>
      </c>
      <c r="J36" t="s">
        <v>156</v>
      </c>
      <c r="K36" t="s">
        <v>56</v>
      </c>
      <c r="L36">
        <v>3</v>
      </c>
      <c r="N36">
        <v>3</v>
      </c>
      <c r="O36" t="s">
        <v>57</v>
      </c>
      <c r="P36" t="s">
        <v>69</v>
      </c>
      <c r="Q36" t="s">
        <v>87</v>
      </c>
      <c r="R36" t="s">
        <v>125</v>
      </c>
      <c r="S36" t="s">
        <v>45</v>
      </c>
      <c r="T36">
        <v>3</v>
      </c>
      <c r="V36">
        <v>2</v>
      </c>
      <c r="W36" t="s">
        <v>86</v>
      </c>
      <c r="X36" t="s">
        <v>76</v>
      </c>
      <c r="Y36" t="s">
        <v>142</v>
      </c>
      <c r="AA36">
        <v>0</v>
      </c>
      <c r="AB36">
        <v>23</v>
      </c>
    </row>
    <row r="37" spans="1:28" x14ac:dyDescent="0.25">
      <c r="A37" t="s">
        <v>533</v>
      </c>
      <c r="B37">
        <v>35</v>
      </c>
      <c r="C37" t="s">
        <v>38</v>
      </c>
      <c r="D37">
        <v>3</v>
      </c>
      <c r="E37">
        <v>3</v>
      </c>
      <c r="F37">
        <v>3</v>
      </c>
      <c r="G37" t="s">
        <v>39</v>
      </c>
      <c r="H37" t="s">
        <v>40</v>
      </c>
      <c r="I37" t="s">
        <v>41</v>
      </c>
      <c r="J37" t="s">
        <v>156</v>
      </c>
      <c r="K37" t="s">
        <v>56</v>
      </c>
      <c r="L37">
        <v>3</v>
      </c>
      <c r="N37">
        <v>3</v>
      </c>
      <c r="O37" t="s">
        <v>57</v>
      </c>
      <c r="P37" t="s">
        <v>69</v>
      </c>
      <c r="Q37" t="s">
        <v>87</v>
      </c>
      <c r="R37" t="s">
        <v>125</v>
      </c>
      <c r="S37" t="s">
        <v>63</v>
      </c>
      <c r="T37">
        <v>3</v>
      </c>
      <c r="V37">
        <v>3</v>
      </c>
      <c r="W37" t="s">
        <v>103</v>
      </c>
      <c r="X37" t="s">
        <v>146</v>
      </c>
      <c r="Y37" t="s">
        <v>147</v>
      </c>
      <c r="Z37" t="s">
        <v>151</v>
      </c>
      <c r="AA37">
        <v>0</v>
      </c>
      <c r="AB37">
        <v>43</v>
      </c>
    </row>
    <row r="38" spans="1:28" x14ac:dyDescent="0.25">
      <c r="A38" t="s">
        <v>534</v>
      </c>
      <c r="B38">
        <v>36</v>
      </c>
      <c r="C38" t="s">
        <v>33</v>
      </c>
      <c r="D38">
        <v>3</v>
      </c>
      <c r="F38">
        <v>3</v>
      </c>
      <c r="G38" t="s">
        <v>34</v>
      </c>
      <c r="H38" t="s">
        <v>130</v>
      </c>
      <c r="I38" t="s">
        <v>36</v>
      </c>
      <c r="K38" t="s">
        <v>48</v>
      </c>
      <c r="L38">
        <v>3</v>
      </c>
      <c r="N38">
        <v>1</v>
      </c>
      <c r="O38" t="s">
        <v>126</v>
      </c>
      <c r="P38" t="s">
        <v>84</v>
      </c>
      <c r="Q38" t="s">
        <v>51</v>
      </c>
      <c r="S38" t="s">
        <v>43</v>
      </c>
      <c r="T38">
        <v>3</v>
      </c>
      <c r="V38">
        <v>3</v>
      </c>
      <c r="W38" t="s">
        <v>44</v>
      </c>
      <c r="X38" t="s">
        <v>99</v>
      </c>
      <c r="AA38">
        <v>0</v>
      </c>
      <c r="AB38">
        <v>18</v>
      </c>
    </row>
    <row r="39" spans="1:28" x14ac:dyDescent="0.25">
      <c r="A39" t="s">
        <v>535</v>
      </c>
      <c r="B39">
        <v>37</v>
      </c>
      <c r="C39" t="s">
        <v>33</v>
      </c>
      <c r="D39">
        <v>3</v>
      </c>
      <c r="F39">
        <v>3</v>
      </c>
      <c r="G39" t="s">
        <v>65</v>
      </c>
      <c r="H39" t="s">
        <v>130</v>
      </c>
      <c r="I39" t="s">
        <v>36</v>
      </c>
      <c r="K39" t="s">
        <v>48</v>
      </c>
      <c r="L39">
        <v>3</v>
      </c>
      <c r="N39">
        <v>1</v>
      </c>
      <c r="O39" t="s">
        <v>126</v>
      </c>
      <c r="P39" t="s">
        <v>84</v>
      </c>
      <c r="Q39" t="s">
        <v>51</v>
      </c>
      <c r="R39" t="s">
        <v>128</v>
      </c>
      <c r="S39" t="s">
        <v>45</v>
      </c>
      <c r="T39">
        <v>3</v>
      </c>
      <c r="V39">
        <v>1</v>
      </c>
      <c r="W39" t="s">
        <v>86</v>
      </c>
      <c r="X39" t="s">
        <v>92</v>
      </c>
      <c r="Y39" t="s">
        <v>142</v>
      </c>
      <c r="Z39" t="s">
        <v>144</v>
      </c>
      <c r="AA39">
        <v>0</v>
      </c>
      <c r="AB39">
        <v>19</v>
      </c>
    </row>
    <row r="40" spans="1:28" x14ac:dyDescent="0.25">
      <c r="A40" t="s">
        <v>536</v>
      </c>
      <c r="B40">
        <v>38</v>
      </c>
      <c r="C40" t="s">
        <v>48</v>
      </c>
      <c r="D40">
        <v>3</v>
      </c>
      <c r="F40">
        <v>1</v>
      </c>
      <c r="G40" t="s">
        <v>89</v>
      </c>
      <c r="H40" t="s">
        <v>84</v>
      </c>
      <c r="I40" t="s">
        <v>90</v>
      </c>
      <c r="J40" t="s">
        <v>128</v>
      </c>
      <c r="K40" t="s">
        <v>33</v>
      </c>
      <c r="L40">
        <v>1</v>
      </c>
      <c r="N40">
        <v>3</v>
      </c>
      <c r="O40" t="s">
        <v>34</v>
      </c>
      <c r="S40" t="s">
        <v>63</v>
      </c>
      <c r="T40">
        <v>2</v>
      </c>
      <c r="V40">
        <v>1</v>
      </c>
      <c r="W40" t="s">
        <v>72</v>
      </c>
      <c r="X40" t="s">
        <v>95</v>
      </c>
      <c r="Y40" t="s">
        <v>147</v>
      </c>
      <c r="AA40">
        <v>0</v>
      </c>
      <c r="AB40">
        <v>15</v>
      </c>
    </row>
    <row r="41" spans="1:28" x14ac:dyDescent="0.25">
      <c r="A41" t="s">
        <v>537</v>
      </c>
      <c r="B41">
        <v>39</v>
      </c>
      <c r="C41" t="s">
        <v>48</v>
      </c>
      <c r="D41">
        <v>2</v>
      </c>
      <c r="F41">
        <v>1</v>
      </c>
      <c r="G41" t="s">
        <v>126</v>
      </c>
      <c r="H41" t="s">
        <v>71</v>
      </c>
      <c r="I41" t="s">
        <v>127</v>
      </c>
      <c r="J41" t="s">
        <v>128</v>
      </c>
      <c r="K41" t="s">
        <v>33</v>
      </c>
      <c r="L41">
        <v>1</v>
      </c>
      <c r="N41">
        <v>1</v>
      </c>
      <c r="O41" t="s">
        <v>65</v>
      </c>
      <c r="P41" t="s">
        <v>130</v>
      </c>
      <c r="Q41" t="s">
        <v>131</v>
      </c>
      <c r="R41" t="s">
        <v>133</v>
      </c>
      <c r="S41" t="s">
        <v>38</v>
      </c>
      <c r="T41">
        <v>1</v>
      </c>
      <c r="U41">
        <v>1</v>
      </c>
      <c r="V41">
        <v>3</v>
      </c>
      <c r="W41" t="s">
        <v>39</v>
      </c>
      <c r="X41" t="s">
        <v>40</v>
      </c>
      <c r="Y41" t="s">
        <v>41</v>
      </c>
      <c r="Z41" t="s">
        <v>155</v>
      </c>
      <c r="AA41">
        <v>0</v>
      </c>
      <c r="AB41">
        <v>16</v>
      </c>
    </row>
    <row r="42" spans="1:28" x14ac:dyDescent="0.25">
      <c r="A42" t="s">
        <v>538</v>
      </c>
      <c r="B42">
        <v>40</v>
      </c>
      <c r="C42" t="s">
        <v>43</v>
      </c>
      <c r="D42">
        <v>3</v>
      </c>
      <c r="F42">
        <v>3</v>
      </c>
      <c r="G42" t="s">
        <v>44</v>
      </c>
      <c r="H42" t="s">
        <v>136</v>
      </c>
      <c r="I42" t="s">
        <v>137</v>
      </c>
      <c r="J42" t="s">
        <v>138</v>
      </c>
      <c r="K42" t="s">
        <v>48</v>
      </c>
      <c r="L42">
        <v>3</v>
      </c>
      <c r="N42">
        <v>3</v>
      </c>
      <c r="O42" t="s">
        <v>126</v>
      </c>
      <c r="P42" t="s">
        <v>71</v>
      </c>
      <c r="Q42" t="s">
        <v>90</v>
      </c>
      <c r="R42" t="s">
        <v>52</v>
      </c>
      <c r="S42" t="s">
        <v>45</v>
      </c>
      <c r="T42">
        <v>3</v>
      </c>
      <c r="V42">
        <v>1</v>
      </c>
      <c r="W42" t="s">
        <v>86</v>
      </c>
      <c r="AA42">
        <v>0</v>
      </c>
      <c r="AB42">
        <v>26</v>
      </c>
    </row>
    <row r="43" spans="1:28" x14ac:dyDescent="0.25">
      <c r="A43" t="s">
        <v>539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136</v>
      </c>
      <c r="I43" t="s">
        <v>137</v>
      </c>
      <c r="J43" t="s">
        <v>139</v>
      </c>
      <c r="K43" t="s">
        <v>48</v>
      </c>
      <c r="L43">
        <v>2</v>
      </c>
      <c r="N43">
        <v>3</v>
      </c>
      <c r="O43" t="s">
        <v>126</v>
      </c>
      <c r="P43" t="s">
        <v>71</v>
      </c>
      <c r="Q43" t="s">
        <v>51</v>
      </c>
      <c r="R43" t="s">
        <v>128</v>
      </c>
      <c r="S43" t="s">
        <v>63</v>
      </c>
      <c r="T43">
        <v>3</v>
      </c>
      <c r="V43">
        <v>3</v>
      </c>
      <c r="W43" t="s">
        <v>72</v>
      </c>
      <c r="X43" t="s">
        <v>146</v>
      </c>
      <c r="Y43" t="s">
        <v>148</v>
      </c>
      <c r="Z43" t="s">
        <v>150</v>
      </c>
      <c r="AA43">
        <v>0</v>
      </c>
      <c r="AB43">
        <v>30</v>
      </c>
    </row>
    <row r="44" spans="1:28" x14ac:dyDescent="0.25">
      <c r="A44" t="s">
        <v>540</v>
      </c>
      <c r="B44">
        <v>42</v>
      </c>
      <c r="C44" t="s">
        <v>43</v>
      </c>
      <c r="D44">
        <v>3</v>
      </c>
      <c r="F44">
        <v>3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3</v>
      </c>
      <c r="N44">
        <v>2</v>
      </c>
      <c r="O44" t="s">
        <v>126</v>
      </c>
      <c r="P44" t="s">
        <v>71</v>
      </c>
      <c r="Q44" t="s">
        <v>90</v>
      </c>
      <c r="R44" t="s">
        <v>52</v>
      </c>
      <c r="S44" t="s">
        <v>38</v>
      </c>
      <c r="T44">
        <v>1</v>
      </c>
      <c r="U44">
        <v>1</v>
      </c>
      <c r="V44">
        <v>1</v>
      </c>
      <c r="W44" t="s">
        <v>39</v>
      </c>
      <c r="X44" t="s">
        <v>40</v>
      </c>
      <c r="Y44" t="s">
        <v>153</v>
      </c>
      <c r="Z44" t="s">
        <v>155</v>
      </c>
      <c r="AA44">
        <v>0</v>
      </c>
      <c r="AB44">
        <v>19</v>
      </c>
    </row>
    <row r="45" spans="1:28" x14ac:dyDescent="0.25">
      <c r="A45" t="s">
        <v>541</v>
      </c>
      <c r="B45">
        <v>43</v>
      </c>
      <c r="C45" t="s">
        <v>63</v>
      </c>
      <c r="D45">
        <v>3</v>
      </c>
      <c r="F45">
        <v>3</v>
      </c>
      <c r="G45" t="s">
        <v>72</v>
      </c>
      <c r="H45" t="s">
        <v>146</v>
      </c>
      <c r="I45" t="s">
        <v>148</v>
      </c>
      <c r="J45" t="s">
        <v>150</v>
      </c>
      <c r="K45" t="s">
        <v>48</v>
      </c>
      <c r="L45">
        <v>2</v>
      </c>
      <c r="N45">
        <v>2</v>
      </c>
      <c r="O45" t="s">
        <v>126</v>
      </c>
      <c r="P45" t="s">
        <v>71</v>
      </c>
      <c r="Q45" t="s">
        <v>127</v>
      </c>
      <c r="R45" t="s">
        <v>52</v>
      </c>
      <c r="S45" t="s">
        <v>45</v>
      </c>
      <c r="T45">
        <v>3</v>
      </c>
      <c r="V45">
        <v>3</v>
      </c>
      <c r="W45" t="s">
        <v>86</v>
      </c>
      <c r="X45" t="s">
        <v>141</v>
      </c>
      <c r="Y45" t="s">
        <v>93</v>
      </c>
      <c r="Z45" t="s">
        <v>143</v>
      </c>
      <c r="AA45">
        <v>0</v>
      </c>
      <c r="AB45">
        <v>26</v>
      </c>
    </row>
    <row r="46" spans="1:28" x14ac:dyDescent="0.25">
      <c r="A46" t="s">
        <v>542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127</v>
      </c>
      <c r="J46" t="s">
        <v>128</v>
      </c>
      <c r="K46" t="s">
        <v>45</v>
      </c>
      <c r="L46">
        <v>3</v>
      </c>
      <c r="N46">
        <v>3</v>
      </c>
      <c r="O46" t="s">
        <v>86</v>
      </c>
      <c r="P46" t="s">
        <v>141</v>
      </c>
      <c r="Q46" t="s">
        <v>93</v>
      </c>
      <c r="R46" t="s">
        <v>143</v>
      </c>
      <c r="S46" t="s">
        <v>38</v>
      </c>
      <c r="T46">
        <v>2</v>
      </c>
      <c r="U46">
        <v>3</v>
      </c>
      <c r="V46">
        <v>3</v>
      </c>
      <c r="W46" t="s">
        <v>39</v>
      </c>
      <c r="X46" t="s">
        <v>40</v>
      </c>
      <c r="Y46" t="s">
        <v>153</v>
      </c>
      <c r="Z46" t="s">
        <v>156</v>
      </c>
      <c r="AA46">
        <v>0</v>
      </c>
      <c r="AB46">
        <v>33</v>
      </c>
    </row>
    <row r="47" spans="1:28" x14ac:dyDescent="0.25">
      <c r="A47" t="s">
        <v>543</v>
      </c>
      <c r="B47">
        <v>45</v>
      </c>
      <c r="C47" t="s">
        <v>63</v>
      </c>
      <c r="D47">
        <v>3</v>
      </c>
      <c r="F47">
        <v>1</v>
      </c>
      <c r="G47" t="s">
        <v>72</v>
      </c>
      <c r="H47" t="s">
        <v>146</v>
      </c>
      <c r="I47" t="s">
        <v>147</v>
      </c>
      <c r="J47" t="s">
        <v>149</v>
      </c>
      <c r="K47" t="s">
        <v>48</v>
      </c>
      <c r="L47">
        <v>3</v>
      </c>
      <c r="N47">
        <v>2</v>
      </c>
      <c r="O47" t="s">
        <v>89</v>
      </c>
      <c r="P47" t="s">
        <v>84</v>
      </c>
      <c r="S47" t="s">
        <v>38</v>
      </c>
      <c r="T47">
        <v>2</v>
      </c>
      <c r="U47">
        <v>1</v>
      </c>
      <c r="V47">
        <v>2</v>
      </c>
      <c r="W47" t="s">
        <v>39</v>
      </c>
      <c r="X47" t="s">
        <v>40</v>
      </c>
      <c r="AA47">
        <v>0</v>
      </c>
      <c r="AB47">
        <v>16</v>
      </c>
    </row>
    <row r="48" spans="1:28" x14ac:dyDescent="0.25">
      <c r="A48" t="s">
        <v>544</v>
      </c>
      <c r="B48">
        <v>46</v>
      </c>
      <c r="C48" t="s">
        <v>43</v>
      </c>
      <c r="D48">
        <v>2</v>
      </c>
      <c r="F48">
        <v>3</v>
      </c>
      <c r="G48" t="s">
        <v>44</v>
      </c>
      <c r="H48" t="s">
        <v>136</v>
      </c>
      <c r="I48" t="s">
        <v>137</v>
      </c>
      <c r="K48" t="s">
        <v>33</v>
      </c>
      <c r="L48">
        <v>3</v>
      </c>
      <c r="N48">
        <v>3</v>
      </c>
      <c r="O48" t="s">
        <v>65</v>
      </c>
      <c r="P48" t="s">
        <v>66</v>
      </c>
      <c r="S48" t="s">
        <v>45</v>
      </c>
      <c r="T48">
        <v>3</v>
      </c>
      <c r="V48">
        <v>1</v>
      </c>
      <c r="W48" t="s">
        <v>86</v>
      </c>
      <c r="X48" t="s">
        <v>141</v>
      </c>
      <c r="AA48">
        <v>0</v>
      </c>
      <c r="AB48">
        <v>16</v>
      </c>
    </row>
    <row r="49" spans="1:28" x14ac:dyDescent="0.25">
      <c r="A49" t="s">
        <v>545</v>
      </c>
      <c r="B49">
        <v>47</v>
      </c>
      <c r="C49" t="s">
        <v>43</v>
      </c>
      <c r="D49">
        <v>3</v>
      </c>
      <c r="F49">
        <v>1</v>
      </c>
      <c r="G49" t="s">
        <v>44</v>
      </c>
      <c r="H49" t="s">
        <v>136</v>
      </c>
      <c r="I49" t="s">
        <v>137</v>
      </c>
      <c r="J49" t="s">
        <v>139</v>
      </c>
      <c r="K49" t="s">
        <v>33</v>
      </c>
      <c r="L49">
        <v>2</v>
      </c>
      <c r="N49">
        <v>2</v>
      </c>
      <c r="O49" t="s">
        <v>34</v>
      </c>
      <c r="S49" t="s">
        <v>63</v>
      </c>
      <c r="T49">
        <v>2</v>
      </c>
      <c r="V49">
        <v>2</v>
      </c>
      <c r="W49" t="s">
        <v>145</v>
      </c>
      <c r="X49" t="s">
        <v>146</v>
      </c>
      <c r="Y49" t="s">
        <v>104</v>
      </c>
      <c r="Z49" t="s">
        <v>149</v>
      </c>
      <c r="AA49">
        <v>0</v>
      </c>
      <c r="AB49">
        <v>16</v>
      </c>
    </row>
    <row r="50" spans="1:28" x14ac:dyDescent="0.25">
      <c r="A50" t="s">
        <v>546</v>
      </c>
      <c r="B50">
        <v>48</v>
      </c>
      <c r="C50" t="s">
        <v>33</v>
      </c>
      <c r="D50">
        <v>2</v>
      </c>
      <c r="F50">
        <v>3</v>
      </c>
      <c r="G50" t="s">
        <v>65</v>
      </c>
      <c r="H50" t="s">
        <v>66</v>
      </c>
      <c r="K50" t="s">
        <v>43</v>
      </c>
      <c r="L50">
        <v>1</v>
      </c>
      <c r="N50">
        <v>1</v>
      </c>
      <c r="O50" t="s">
        <v>44</v>
      </c>
      <c r="P50" t="s">
        <v>136</v>
      </c>
      <c r="Q50" t="s">
        <v>100</v>
      </c>
      <c r="S50" t="s">
        <v>38</v>
      </c>
      <c r="T50">
        <v>1</v>
      </c>
      <c r="U50">
        <v>1</v>
      </c>
      <c r="V50">
        <v>3</v>
      </c>
      <c r="W50" t="s">
        <v>39</v>
      </c>
      <c r="X50" t="s">
        <v>40</v>
      </c>
      <c r="Y50" t="s">
        <v>153</v>
      </c>
      <c r="AA50">
        <v>0</v>
      </c>
      <c r="AB50">
        <v>15</v>
      </c>
    </row>
    <row r="51" spans="1:28" x14ac:dyDescent="0.25">
      <c r="A51" t="s">
        <v>547</v>
      </c>
      <c r="B51">
        <v>49</v>
      </c>
      <c r="C51" t="s">
        <v>45</v>
      </c>
      <c r="D51">
        <v>3</v>
      </c>
      <c r="F51">
        <v>1</v>
      </c>
      <c r="G51" t="s">
        <v>86</v>
      </c>
      <c r="H51" t="s">
        <v>141</v>
      </c>
      <c r="I51" t="s">
        <v>142</v>
      </c>
      <c r="J51" t="s">
        <v>144</v>
      </c>
      <c r="K51" t="s">
        <v>33</v>
      </c>
      <c r="L51">
        <v>2</v>
      </c>
      <c r="N51">
        <v>3</v>
      </c>
      <c r="O51" t="s">
        <v>34</v>
      </c>
      <c r="P51" t="s">
        <v>66</v>
      </c>
      <c r="Q51" t="s">
        <v>131</v>
      </c>
      <c r="R51" t="s">
        <v>133</v>
      </c>
      <c r="S51" t="s">
        <v>63</v>
      </c>
      <c r="T51">
        <v>1</v>
      </c>
      <c r="V51">
        <v>2</v>
      </c>
      <c r="W51" t="s">
        <v>145</v>
      </c>
      <c r="X51" t="s">
        <v>146</v>
      </c>
      <c r="Y51" t="s">
        <v>104</v>
      </c>
      <c r="AA51">
        <v>0</v>
      </c>
      <c r="AB51">
        <v>18</v>
      </c>
    </row>
    <row r="52" spans="1:28" x14ac:dyDescent="0.25">
      <c r="A52" t="s">
        <v>548</v>
      </c>
      <c r="B52">
        <v>50</v>
      </c>
      <c r="C52" t="s">
        <v>45</v>
      </c>
      <c r="D52">
        <v>3</v>
      </c>
      <c r="F52">
        <v>1</v>
      </c>
      <c r="G52" t="s">
        <v>86</v>
      </c>
      <c r="H52" t="s">
        <v>141</v>
      </c>
      <c r="I52" t="s">
        <v>93</v>
      </c>
      <c r="K52" t="s">
        <v>33</v>
      </c>
      <c r="L52">
        <v>2</v>
      </c>
      <c r="N52">
        <v>3</v>
      </c>
      <c r="O52" t="s">
        <v>65</v>
      </c>
      <c r="P52" t="s">
        <v>35</v>
      </c>
      <c r="S52" t="s">
        <v>38</v>
      </c>
      <c r="T52">
        <v>1</v>
      </c>
      <c r="U52">
        <v>1</v>
      </c>
      <c r="V52">
        <v>2</v>
      </c>
      <c r="W52" t="s">
        <v>39</v>
      </c>
      <c r="X52" t="s">
        <v>40</v>
      </c>
      <c r="Y52" t="s">
        <v>153</v>
      </c>
      <c r="AA52">
        <v>0</v>
      </c>
      <c r="AB52">
        <v>14</v>
      </c>
    </row>
    <row r="53" spans="1:28" x14ac:dyDescent="0.25">
      <c r="A53" t="s">
        <v>549</v>
      </c>
      <c r="B53">
        <v>51</v>
      </c>
      <c r="C53" t="s">
        <v>63</v>
      </c>
      <c r="D53">
        <v>1</v>
      </c>
      <c r="F53">
        <v>1</v>
      </c>
      <c r="G53" t="s">
        <v>72</v>
      </c>
      <c r="H53" t="s">
        <v>95</v>
      </c>
      <c r="K53" t="s">
        <v>33</v>
      </c>
      <c r="L53">
        <v>1</v>
      </c>
      <c r="N53">
        <v>2</v>
      </c>
      <c r="O53" t="s">
        <v>34</v>
      </c>
      <c r="P53" t="s">
        <v>66</v>
      </c>
      <c r="S53" t="s">
        <v>38</v>
      </c>
      <c r="T53">
        <v>1</v>
      </c>
      <c r="U53">
        <v>1</v>
      </c>
      <c r="V53">
        <v>2</v>
      </c>
      <c r="W53" t="s">
        <v>39</v>
      </c>
      <c r="X53" t="s">
        <v>40</v>
      </c>
      <c r="AA53">
        <v>0</v>
      </c>
      <c r="AB53">
        <v>9</v>
      </c>
    </row>
    <row r="54" spans="1:28" x14ac:dyDescent="0.25">
      <c r="A54" t="s">
        <v>550</v>
      </c>
      <c r="B54">
        <v>52</v>
      </c>
      <c r="C54" t="s">
        <v>43</v>
      </c>
      <c r="D54">
        <v>3</v>
      </c>
      <c r="F54">
        <v>3</v>
      </c>
      <c r="G54" t="s">
        <v>44</v>
      </c>
      <c r="K54" t="s">
        <v>45</v>
      </c>
      <c r="L54">
        <v>3</v>
      </c>
      <c r="N54">
        <v>1</v>
      </c>
      <c r="O54" t="s">
        <v>86</v>
      </c>
      <c r="P54" t="s">
        <v>141</v>
      </c>
      <c r="Q54" t="s">
        <v>102</v>
      </c>
      <c r="S54" t="s">
        <v>63</v>
      </c>
      <c r="T54">
        <v>1</v>
      </c>
      <c r="V54">
        <v>3</v>
      </c>
      <c r="W54" t="s">
        <v>145</v>
      </c>
      <c r="X54" t="s">
        <v>146</v>
      </c>
      <c r="AA54">
        <v>0</v>
      </c>
      <c r="AB54">
        <v>14</v>
      </c>
    </row>
    <row r="55" spans="1:28" x14ac:dyDescent="0.25">
      <c r="A55" t="s">
        <v>551</v>
      </c>
      <c r="B55">
        <v>53</v>
      </c>
      <c r="C55" t="s">
        <v>38</v>
      </c>
      <c r="D55">
        <v>3</v>
      </c>
      <c r="E55">
        <v>1</v>
      </c>
      <c r="F55">
        <v>3</v>
      </c>
      <c r="G55" t="s">
        <v>39</v>
      </c>
      <c r="H55" t="s">
        <v>70</v>
      </c>
      <c r="K55" t="s">
        <v>43</v>
      </c>
      <c r="L55">
        <v>2</v>
      </c>
      <c r="N55">
        <v>1</v>
      </c>
      <c r="O55" t="s">
        <v>135</v>
      </c>
      <c r="P55" t="s">
        <v>136</v>
      </c>
      <c r="Q55" t="s">
        <v>75</v>
      </c>
      <c r="R55" t="s">
        <v>139</v>
      </c>
      <c r="S55" t="s">
        <v>45</v>
      </c>
      <c r="T55">
        <v>3</v>
      </c>
      <c r="V55">
        <v>1</v>
      </c>
      <c r="W55" t="s">
        <v>86</v>
      </c>
      <c r="X55" t="s">
        <v>76</v>
      </c>
      <c r="AA55">
        <v>0</v>
      </c>
      <c r="AB55">
        <v>17</v>
      </c>
    </row>
    <row r="56" spans="1:28" x14ac:dyDescent="0.25">
      <c r="A56" t="s">
        <v>552</v>
      </c>
      <c r="B56">
        <v>54</v>
      </c>
      <c r="C56" t="s">
        <v>43</v>
      </c>
      <c r="D56">
        <v>3</v>
      </c>
      <c r="F56">
        <v>3</v>
      </c>
      <c r="G56" t="s">
        <v>44</v>
      </c>
      <c r="H56" t="s">
        <v>136</v>
      </c>
      <c r="I56" t="s">
        <v>137</v>
      </c>
      <c r="J56" t="s">
        <v>138</v>
      </c>
      <c r="K56" t="s">
        <v>63</v>
      </c>
      <c r="L56">
        <v>3</v>
      </c>
      <c r="N56">
        <v>2</v>
      </c>
      <c r="O56" t="s">
        <v>72</v>
      </c>
      <c r="P56" t="s">
        <v>146</v>
      </c>
      <c r="Q56" t="s">
        <v>104</v>
      </c>
      <c r="R56" t="s">
        <v>149</v>
      </c>
      <c r="S56" t="s">
        <v>38</v>
      </c>
      <c r="T56">
        <v>1</v>
      </c>
      <c r="U56">
        <v>1</v>
      </c>
      <c r="V56">
        <v>3</v>
      </c>
      <c r="W56" t="s">
        <v>39</v>
      </c>
      <c r="X56" t="s">
        <v>40</v>
      </c>
      <c r="AA56">
        <v>0</v>
      </c>
      <c r="AB56">
        <v>21</v>
      </c>
    </row>
    <row r="57" spans="1:28" x14ac:dyDescent="0.25">
      <c r="A57" t="s">
        <v>553</v>
      </c>
      <c r="B57">
        <v>55</v>
      </c>
      <c r="C57" t="s">
        <v>63</v>
      </c>
      <c r="D57">
        <v>2</v>
      </c>
      <c r="F57">
        <v>2</v>
      </c>
      <c r="G57" t="s">
        <v>72</v>
      </c>
      <c r="H57" t="s">
        <v>146</v>
      </c>
      <c r="I57" t="s">
        <v>104</v>
      </c>
      <c r="J57" t="s">
        <v>151</v>
      </c>
      <c r="K57" t="s">
        <v>45</v>
      </c>
      <c r="L57">
        <v>3</v>
      </c>
      <c r="N57">
        <v>1</v>
      </c>
      <c r="O57" t="s">
        <v>86</v>
      </c>
      <c r="P57" t="s">
        <v>141</v>
      </c>
      <c r="Q57" t="s">
        <v>102</v>
      </c>
      <c r="R57" t="s">
        <v>143</v>
      </c>
      <c r="S57" t="s">
        <v>38</v>
      </c>
      <c r="T57">
        <v>2</v>
      </c>
      <c r="U57">
        <v>3</v>
      </c>
      <c r="V57">
        <v>1</v>
      </c>
      <c r="W57" t="s">
        <v>39</v>
      </c>
      <c r="X57" t="s">
        <v>96</v>
      </c>
      <c r="Y57" t="s">
        <v>153</v>
      </c>
      <c r="Z57" t="s">
        <v>156</v>
      </c>
      <c r="AA57">
        <v>0</v>
      </c>
      <c r="AB57">
        <v>20</v>
      </c>
    </row>
  </sheetData>
  <phoneticPr fontId="3" type="noConversion"/>
  <conditionalFormatting sqref="B1:B1048576">
    <cfRule type="duplicateValues" dxfId="1785" priority="1"/>
  </conditionalFormatting>
  <conditionalFormatting sqref="A2:B57">
    <cfRule type="duplicateValues" dxfId="1784" priority="633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M20" sqref="M20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1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3" s="3">
        <f>IF(ScenarioTeams3[[#This Row],[battles]],ScenarioTeams3[[#This Row],[wins]]/ScenarioTeams3[[#This Row],[battles]],0)</f>
        <v>0.47619047619047616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12</v>
      </c>
      <c r="L4" s="3">
        <f>IF(ScenarioTeams3[[#This Row],[battles]],ScenarioTeams3[[#This Row],[wins]]/ScenarioTeams3[[#This Row],[battles]],0)</f>
        <v>0.5714285714285714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5" s="3">
        <f>IF(ScenarioTeams3[[#This Row],[battles]],ScenarioTeams3[[#This Row],[wins]]/ScenarioTeams3[[#This Row],[battles]],0)</f>
        <v>0.19047619047619047</v>
      </c>
      <c r="N5" s="4" t="s">
        <v>158</v>
      </c>
      <c r="O5" s="30">
        <f>MIN(Scenario3[turns])</f>
        <v>9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1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6" s="3">
        <f>IF(ScenarioTeams3[[#This Row],[battles]],ScenarioTeams3[[#This Row],[wins]]/ScenarioTeams3[[#This Row],[battles]],0)</f>
        <v>0.33333333333333331</v>
      </c>
      <c r="N6" s="5" t="s">
        <v>108</v>
      </c>
      <c r="O6" s="31">
        <f>AVERAGE(Scenario3[turns])</f>
        <v>25.767857142857142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1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7" s="3">
        <f>IF(ScenarioTeams3[[#This Row],[battles]],ScenarioTeams3[[#This Row],[wins]]/ScenarioTeams3[[#This Row],[battles]],0)</f>
        <v>0.38095238095238093</v>
      </c>
      <c r="N7" s="5" t="s">
        <v>160</v>
      </c>
      <c r="O7" s="31">
        <f>MAX(Scenario3[turns])</f>
        <v>56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1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8" s="3">
        <f>IF(ScenarioTeams3[[#This Row],[battles]],ScenarioTeams3[[#This Row],[wins]]/ScenarioTeams3[[#This Row],[battles]],0)</f>
        <v>0.19047619047619047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1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9" s="3">
        <f>IF(ScenarioTeams3[[#This Row],[battles]],ScenarioTeams3[[#This Row],[wins]]/ScenarioTeams3[[#This Row],[battles]],0)</f>
        <v>0.33333333333333331</v>
      </c>
      <c r="N9" s="4" t="s">
        <v>185</v>
      </c>
      <c r="O9" s="30">
        <f>120000*$O$6/1000/60</f>
        <v>51.535714285714292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1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10" s="3">
        <f>IF(ScenarioTeams3[[#This Row],[battles]],ScenarioTeams3[[#This Row],[wins]]/ScenarioTeams3[[#This Row],[battles]],0)</f>
        <v>0.19047619047619047</v>
      </c>
      <c r="N10" s="5" t="s">
        <v>186</v>
      </c>
      <c r="O10" s="6">
        <f>O9*COUNTA(ScenarioStat3[hero-1])/60/24*2</f>
        <v>4.0083333333333337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1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1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1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1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1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1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1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1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1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1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1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1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1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1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1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1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1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1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1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1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1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1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1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1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1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1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1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1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1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1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1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1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1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1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2"/>
  <sheetViews>
    <sheetView workbookViewId="0">
      <selection activeCell="A71" sqref="A3:XFD71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228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69</v>
      </c>
      <c r="I2" t="s">
        <v>87</v>
      </c>
      <c r="J2" t="s">
        <v>125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105</v>
      </c>
      <c r="R2" t="s">
        <v>115</v>
      </c>
      <c r="S2" t="s">
        <v>48</v>
      </c>
      <c r="T2">
        <v>1</v>
      </c>
      <c r="V2">
        <v>1</v>
      </c>
      <c r="W2" t="s">
        <v>126</v>
      </c>
      <c r="X2" t="s">
        <v>84</v>
      </c>
      <c r="Y2" t="s">
        <v>127</v>
      </c>
      <c r="Z2" t="s">
        <v>52</v>
      </c>
      <c r="AA2" t="s">
        <v>43</v>
      </c>
      <c r="AB2">
        <v>2</v>
      </c>
      <c r="AD2">
        <v>1</v>
      </c>
      <c r="AE2" t="s">
        <v>44</v>
      </c>
      <c r="AF2" t="s">
        <v>136</v>
      </c>
      <c r="AI2">
        <v>0</v>
      </c>
      <c r="AJ2">
        <v>24</v>
      </c>
    </row>
  </sheetData>
  <phoneticPr fontId="3" type="noConversion"/>
  <conditionalFormatting sqref="B69:B1048576 B1:B41">
    <cfRule type="duplicateValues" dxfId="1775" priority="2"/>
  </conditionalFormatting>
  <conditionalFormatting sqref="B1:B1048576">
    <cfRule type="duplicateValues" dxfId="1774" priority="1"/>
  </conditionalFormatting>
  <conditionalFormatting sqref="A2:B2">
    <cfRule type="duplicateValues" dxfId="1773" priority="63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2022-12-19T04:53:29Z</dcterms:modified>
</cp:coreProperties>
</file>