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sentations List" sheetId="1" r:id="rId3"/>
    <sheet state="visible" name="Links to notesreading lists" sheetId="2" r:id="rId4"/>
  </sheets>
  <definedNames>
    <definedName hidden="1" localSheetId="0" name="Z_DB363BE0_B4FC_464D_9E52_27196FE71575_.wvu.FilterData">'Presentations List'!$B$3:$B$233</definedName>
  </definedNames>
  <calcPr/>
  <customWorkbookViews>
    <customWorkbookView activeSheetId="0" maximized="1" tabRatio="600" windowHeight="0" windowWidth="0" guid="{DB363BE0-B4FC-464D-9E52-27196FE71575}" name="Filter 1"/>
  </customWorkbookViews>
</workbook>
</file>

<file path=xl/sharedStrings.xml><?xml version="1.0" encoding="utf-8"?>
<sst xmlns="http://schemas.openxmlformats.org/spreadsheetml/2006/main" count="690" uniqueCount="435">
  <si>
    <t>http://www.codecadwallader.com/2019/01/13/starred-notes-from-codemash-2019/</t>
  </si>
  <si>
    <t>https://dev.to/bocajnotnef/codemash-2019-reading-list-32jh</t>
  </si>
  <si>
    <t>review</t>
  </si>
  <si>
    <t>Talk Type</t>
  </si>
  <si>
    <t>Presentation Link</t>
  </si>
  <si>
    <t>Presented By</t>
  </si>
  <si>
    <t>Links</t>
  </si>
  <si>
    <t>Name</t>
  </si>
  <si>
    <t>Twitter</t>
  </si>
  <si>
    <t>LinkedIn</t>
  </si>
  <si>
    <t>Add'l References</t>
  </si>
  <si>
    <t>Session</t>
  </si>
  <si>
    <t>Jack Bennett</t>
  </si>
  <si>
    <t># Composition Is Key</t>
  </si>
  <si>
    <t>Sponsored</t>
  </si>
  <si>
    <t>Assurant Labs/Anthony Coble</t>
  </si>
  <si>
    <t>12 Factor Apps Mobile Edition</t>
  </si>
  <si>
    <t>Sam Corder</t>
  </si>
  <si>
    <t>12 skills every rookie programmer should have, but often don't</t>
  </si>
  <si>
    <t>Andy Lester</t>
  </si>
  <si>
    <t>http://blog.petdance.com/</t>
  </si>
  <si>
    <t>7 Languages in 7 Hours Part 1</t>
  </si>
  <si>
    <t>Amber Conville</t>
  </si>
  <si>
    <t>7 Languages in 7 Hours Part 2</t>
  </si>
  <si>
    <t>7 Reasons why your microservices should use Event Sourcing &amp; CQRS</t>
  </si>
  <si>
    <t>https://www.youtube.com/watch?v=NY9spSccR-0&amp;t=428s</t>
  </si>
  <si>
    <t>Hugh McKee</t>
  </si>
  <si>
    <t>A Better, Faster Pipeline for Software Delivery</t>
  </si>
  <si>
    <t>Gene Gotimer</t>
  </si>
  <si>
    <t>A Hands-on Intro to Containers</t>
  </si>
  <si>
    <t>A Primer on Functional Programming</t>
  </si>
  <si>
    <t>https://geekygirlsarah.com/primer-fp</t>
  </si>
  <si>
    <t>Sarah Withee</t>
  </si>
  <si>
    <t>https://www.dropbox.com/s/8fno7zrqbkveace/A%20Primer%20on%20Functional%20Programming.pdf?dl=0</t>
  </si>
  <si>
    <t>A Swift Intro to iOS</t>
  </si>
  <si>
    <t>https://speakerdeck.com/kimberlyarnett/iosintroslides</t>
  </si>
  <si>
    <t>Kim Arnett</t>
  </si>
  <si>
    <t>https://github.com/karnett/SwiftIntroiOS</t>
  </si>
  <si>
    <t>Accessibility: A Walk in Someone Else’s Shoes</t>
  </si>
  <si>
    <t>Nathan Loding</t>
  </si>
  <si>
    <t>AI Based Testing - The future of test automation</t>
  </si>
  <si>
    <t>Raj Subramanian</t>
  </si>
  <si>
    <t>AI for Earth: Innovations in Data Collection for Machine Learning</t>
  </si>
  <si>
    <t>Jennifer Marsman</t>
  </si>
  <si>
    <t>Jared Rhodes</t>
  </si>
  <si>
    <t>Always Be Delivering</t>
  </si>
  <si>
    <t>James Balmert</t>
  </si>
  <si>
    <t>Michael Fazio</t>
  </si>
  <si>
    <t>https://developer.android.com/jetpack/</t>
  </si>
  <si>
    <t>AngularJS to Angular 6 Migration</t>
  </si>
  <si>
    <t>Matt Weimer</t>
  </si>
  <si>
    <t>Gary Fleming</t>
  </si>
  <si>
    <t>Application Security: Keeping up with the Jones and the Smiths</t>
  </si>
  <si>
    <t xml:space="preserve"> PreEmptive Solutions/Sebastian Holst</t>
  </si>
  <si>
    <t>Arts &amp; Crafts with AWS Glue</t>
  </si>
  <si>
    <t>Manifest Solutions/James Zhang &amp; Lydia White</t>
  </si>
  <si>
    <t>Asynchronicity: concurrency. A tale of</t>
  </si>
  <si>
    <t>Joel Lord</t>
  </si>
  <si>
    <t>Jeff Katz</t>
  </si>
  <si>
    <t>Automating the Software Delivery Pipeline: DevOps in the Real World</t>
  </si>
  <si>
    <t>Gregory Beamer</t>
  </si>
  <si>
    <t>Couchbase/Matthew D. Groves</t>
  </si>
  <si>
    <t>Scott Drake‏, Jared Faris</t>
  </si>
  <si>
    <t>https://github.com/nloding/be-an-a11y-with-react</t>
  </si>
  <si>
    <t>Nathan Loding‏</t>
  </si>
  <si>
    <t>Olivia Liddell‏</t>
  </si>
  <si>
    <t>https://twitter.com/crayzeigh/status/1083461161658527746</t>
  </si>
  <si>
    <t>https://youtu.be/_PdPxj4yrNk</t>
  </si>
  <si>
    <t>Begin Your Machine Learning Journey in the Public Cloud</t>
  </si>
  <si>
    <t>John Dages</t>
  </si>
  <si>
    <t>https://github.com/ArchitectNow/ArchitectNow.ApiStarter</t>
  </si>
  <si>
    <t>Kevin Grossnicklaus</t>
  </si>
  <si>
    <t>&lt;</t>
  </si>
  <si>
    <t>Michael Dowden</t>
  </si>
  <si>
    <t>Beyond the Model: Operationalizing 4,586 Bigfoot Sightings</t>
  </si>
  <si>
    <t>Data Robot/Guy Royse</t>
  </si>
  <si>
    <t>Bluetooth Prototyping with the Raspberry Pi</t>
  </si>
  <si>
    <t>InfernoRed Technology/Roberto Hernandez</t>
  </si>
  <si>
    <t>https://design-systems.buildright.io/#/</t>
  </si>
  <si>
    <t>Nathan Rambeck, Kasey Bonifacio</t>
  </si>
  <si>
    <t>Build your own A.I. powered robot - Part 1</t>
  </si>
  <si>
    <t>Henk Boelman</t>
  </si>
  <si>
    <t>Build your own A.I. powered robot - Part 2</t>
  </si>
  <si>
    <t>Building a better audit log</t>
  </si>
  <si>
    <t>Craig Hills</t>
  </si>
  <si>
    <t>Building A Highly Scalable Service that Survived A Super Bowl</t>
  </si>
  <si>
    <t>Keith Elder</t>
  </si>
  <si>
    <t>Tommy Graves</t>
  </si>
  <si>
    <t>https://github.com/TAGraves/production-ready-rn-codemash-2019</t>
  </si>
  <si>
    <t>John Melton</t>
  </si>
  <si>
    <t>Building an Industry Disruptive App with 20 Seconds Left</t>
  </si>
  <si>
    <t>Rocket Mortgage by Quicken Loans/Keith Elder</t>
  </si>
  <si>
    <t>Building Binary Clock with Raspberry Pi Zeros Workshop</t>
  </si>
  <si>
    <t>Roberto Hernandez</t>
  </si>
  <si>
    <t>Building Blocks for Beautiful Cross-Platform Applications!</t>
  </si>
  <si>
    <t>Jeremiah Bryant</t>
  </si>
  <si>
    <t>Building Letters for Livia: A Vue.js App in an Hour</t>
  </si>
  <si>
    <t>Jessica Mauerhan</t>
  </si>
  <si>
    <t>Building Mobile Applications with the Ionic Framework</t>
  </si>
  <si>
    <t>Robert Lair</t>
  </si>
  <si>
    <t>Building Products Sustainably with Resilient Teams</t>
  </si>
  <si>
    <t>Waldo G</t>
  </si>
  <si>
    <t>Building Reusable, High Performance ETL Systems</t>
  </si>
  <si>
    <t>Brendan Mulcahy</t>
  </si>
  <si>
    <t>Building Your First React App</t>
  </si>
  <si>
    <t>Steven Hicks</t>
  </si>
  <si>
    <t>Building Your First Voice Experience with Alexa</t>
  </si>
  <si>
    <t>Jeff Blankenburg</t>
  </si>
  <si>
    <t>Building Your Team to Last</t>
  </si>
  <si>
    <t>Can DevOps and Security be Friends?</t>
  </si>
  <si>
    <t>Zach Steindler</t>
  </si>
  <si>
    <t>Charting a Course to Your Dream Job</t>
  </si>
  <si>
    <t>Cassandra Faris, Kim Preece</t>
  </si>
  <si>
    <t>CircuitPython/MicroPython - How to get started</t>
  </si>
  <si>
    <t>Dan Kacenjar</t>
  </si>
  <si>
    <t>Climbing To The Top Of The Mobile Testing Pyramid</t>
  </si>
  <si>
    <t>Rick Clymer</t>
  </si>
  <si>
    <t>Code Checkup: Tools to check the health of your code.</t>
  </si>
  <si>
    <t>Doug Mair</t>
  </si>
  <si>
    <t>Code Reviews: That's a Great Idea!</t>
  </si>
  <si>
    <t>http://amlyhamm.com/talks/codemash-2019/#/</t>
  </si>
  <si>
    <t>Amy Gebhardt‏</t>
  </si>
  <si>
    <t>Collaborating on Infrastructure as Code with Terraform</t>
  </si>
  <si>
    <t>Seth Vargo</t>
  </si>
  <si>
    <t>Collaborative Contract Driven Development</t>
  </si>
  <si>
    <t>Billy Korando</t>
  </si>
  <si>
    <t>Comments are Useless and Other Controversial Opinions About Code</t>
  </si>
  <si>
    <t>Izzi Bikun</t>
  </si>
  <si>
    <t>Common Characteristics of the Greatest Developers</t>
  </si>
  <si>
    <t>Daniel Davis</t>
  </si>
  <si>
    <t>Connect Data and Devices with Apache NiFi</t>
  </si>
  <si>
    <t>Ryan Hendrickson</t>
  </si>
  <si>
    <t>Connected Data &amp; the Graph Database landscape</t>
  </si>
  <si>
    <t>Greg Jordan</t>
  </si>
  <si>
    <t>Continuous Delivery requires radical changes for testers</t>
  </si>
  <si>
    <t>Jeff Morgan</t>
  </si>
  <si>
    <t>Convergence of Front-end Technologies</t>
  </si>
  <si>
    <t>Jonathan Pinlac</t>
  </si>
  <si>
    <t>Corporate Single Sign-On: Building an OpenID Connect Provider in .NET with IdentityServer</t>
  </si>
  <si>
    <t>https://github.com/jayharris/workshop-oidc/wiki</t>
  </si>
  <si>
    <t>Jay Harris</t>
  </si>
  <si>
    <t>Creative Solutions to Already Solved Problems</t>
  </si>
  <si>
    <t>CSS !important</t>
  </si>
  <si>
    <t>Data management in a Microservices world</t>
  </si>
  <si>
    <t>Gerald Venzl</t>
  </si>
  <si>
    <t>Data Science: Zero to Hero</t>
  </si>
  <si>
    <t>Gary Short, Galiya Warrier</t>
  </si>
  <si>
    <t>Database Continuous Delivery &amp; Your Salvation!</t>
  </si>
  <si>
    <t>John Morehouse</t>
  </si>
  <si>
    <t>Database DevOps with Containers</t>
  </si>
  <si>
    <t>Rob Richardson</t>
  </si>
  <si>
    <t>Debug Like It's Your Job</t>
  </si>
  <si>
    <t>Bob Crowley</t>
  </si>
  <si>
    <t>Debugging the Internet of Things with Traces</t>
  </si>
  <si>
    <t>Kirk Kaiser</t>
  </si>
  <si>
    <t>Decrypting the Tech Hype for the Busy Coder</t>
  </si>
  <si>
    <t>Oracle/Stephen Chin</t>
  </si>
  <si>
    <t>Deep Learning like a Viking - Building Convolutional Neural Networks with Keras</t>
  </si>
  <si>
    <t>Guy Royse</t>
  </si>
  <si>
    <t>Design for inclusivity using Conversational Chatbots</t>
  </si>
  <si>
    <t>Suganthi Giridharan</t>
  </si>
  <si>
    <t>Design Thinking for Developers</t>
  </si>
  <si>
    <t>Cory Gwin</t>
  </si>
  <si>
    <t>Desktop Applications in Electron</t>
  </si>
  <si>
    <t>Victor Pudelski</t>
  </si>
  <si>
    <t>DevOps - Philosophy vs Practice</t>
  </si>
  <si>
    <t>PJ Hagerty</t>
  </si>
  <si>
    <t>Digging Into your APIs with Exploratory Testing</t>
  </si>
  <si>
    <t>Amber Race</t>
  </si>
  <si>
    <t>DISCovering your team: A Guide to Effective Communication</t>
  </si>
  <si>
    <t>Patrick Badley‏</t>
  </si>
  <si>
    <t>Disruption Junction: The Evolution of Innovation Enablement</t>
  </si>
  <si>
    <t>Rocket Mortgage by Quicken Loans/Jordan LaFramboise</t>
  </si>
  <si>
    <t>Does Agile Need Architects?</t>
  </si>
  <si>
    <t>ICC/Kevin Fox</t>
  </si>
  <si>
    <t>Domain specific languages: Don't be scared</t>
  </si>
  <si>
    <t>Andrew Roden</t>
  </si>
  <si>
    <t>Don't Rewrite, React!</t>
  </si>
  <si>
    <t>Sara Gibbons</t>
  </si>
  <si>
    <t>Embrace your Legacy… Code</t>
  </si>
  <si>
    <t>Nelida Velazquez</t>
  </si>
  <si>
    <t>Enhance Your Career with a Mastermind Group</t>
  </si>
  <si>
    <t>Kevin Griffin</t>
  </si>
  <si>
    <t>Entity Framework debugging using SQL Server: A Detective Story</t>
  </si>
  <si>
    <t>Chris Woodruff</t>
  </si>
  <si>
    <t>Esoteric Programming Languages</t>
  </si>
  <si>
    <t>Jason Bock</t>
  </si>
  <si>
    <t>Everyday Animations in Android</t>
  </si>
  <si>
    <t>David Truxall</t>
  </si>
  <si>
    <t>Expand Your Testing with Virtual Services</t>
  </si>
  <si>
    <t>Experiencing A11y</t>
  </si>
  <si>
    <t>https://github.com/jcharlton777/Experincing-A11y</t>
  </si>
  <si>
    <t>Jenna Charlton, Chelsey Bryant</t>
  </si>
  <si>
    <t>Extreme Performance Architecture</t>
  </si>
  <si>
    <t>Oren Eini</t>
  </si>
  <si>
    <t>Finding your place in the Cosmos: When and why you should consider Azure Cosmos DB.</t>
  </si>
  <si>
    <t>Eric Potter</t>
  </si>
  <si>
    <t>Flutter for Android Developers</t>
  </si>
  <si>
    <t>Michael Yotive</t>
  </si>
  <si>
    <t>Fractals: Recursion in Nature</t>
  </si>
  <si>
    <t>http://slides.com/cr0wst/fractals</t>
  </si>
  <si>
    <t>Steve Crow‏</t>
  </si>
  <si>
    <t>From Average to Awesome In a Few Short Years</t>
  </si>
  <si>
    <t>Brandon Bruno</t>
  </si>
  <si>
    <t>From Zero to Serverless</t>
  </si>
  <si>
    <t>Chad Green</t>
  </si>
  <si>
    <t>Gathering Insights from Audio Data</t>
  </si>
  <si>
    <t>Ryan Bales</t>
  </si>
  <si>
    <t>Generate data for 10,000 unit tests</t>
  </si>
  <si>
    <t>Jeremy Sellars‏</t>
  </si>
  <si>
    <t>Generating Fractals in the Browser With Rust and WebAssembly</t>
  </si>
  <si>
    <t>Ankur Sethi</t>
  </si>
  <si>
    <t>Get More Miles Out of Your Legacy App!</t>
  </si>
  <si>
    <t>Brett Whittington</t>
  </si>
  <si>
    <t>Get Up and Running Quickly With Vue.js</t>
  </si>
  <si>
    <t>https://github.com/break-stuff/ShameShopper</t>
  </si>
  <si>
    <t>Burton Smith</t>
  </si>
  <si>
    <t>Getting started in security with the OWASP ZAP HUD</t>
  </si>
  <si>
    <t>Simon Bennetts</t>
  </si>
  <si>
    <t>Getting the most out of your next generation JVM testing framework</t>
  </si>
  <si>
    <t>Benjamin Muschko</t>
  </si>
  <si>
    <t>Getting Unstuck</t>
  </si>
  <si>
    <t>https://getting-unstuck.stevenhicks.me/#/</t>
  </si>
  <si>
    <t>Dad joke API: https://icanhazdadjoke.com</t>
  </si>
  <si>
    <t>git gone wild: how to recover from common git mistakes.</t>
  </si>
  <si>
    <t>Magnus Stahre</t>
  </si>
  <si>
    <t>Give Feedback Fearlessly: Workshop</t>
  </si>
  <si>
    <t>Gradle with Ketchup</t>
  </si>
  <si>
    <t>David Lucas</t>
  </si>
  <si>
    <t>Handling Angular 2+ Forms Without Losing Your Sanity</t>
  </si>
  <si>
    <t>https://github.com/tehfedaykin/complicated-forms-app</t>
  </si>
  <si>
    <t>Jennifer Wadella</t>
  </si>
  <si>
    <t>Hardware is from Mars, Software is from Venus</t>
  </si>
  <si>
    <t>Have Some Cake With Your Frosting: Testing Both the UI and API Layers</t>
  </si>
  <si>
    <t>https://github.com/g33klady/TodoApiSample</t>
  </si>
  <si>
    <t>Hilary Weaver-Robb</t>
  </si>
  <si>
    <t>Have Your Pi and Eat It Too: .NET Core on Raspberry Pi</t>
  </si>
  <si>
    <t>Hey, You Got Your TDD in my SQL DB!</t>
  </si>
  <si>
    <t>Joel Lord‏</t>
  </si>
  <si>
    <t>f</t>
  </si>
  <si>
    <t>Higher-Order Promises</t>
  </si>
  <si>
    <t>Neal Lindsay</t>
  </si>
  <si>
    <t>Hold Up, Wait a Minute, Let Me Put Some Async In It</t>
  </si>
  <si>
    <t xml:space="preserve">Matthew Jones‏ </t>
  </si>
  <si>
    <t>https://exceptionnotfound.net/speaking-engagements/</t>
  </si>
  <si>
    <t>Hotdog Not Hotdog: Xamarin Android Things Primer</t>
  </si>
  <si>
    <t>Ron Dagdag</t>
  </si>
  <si>
    <t>http://www.dagdag.net</t>
  </si>
  <si>
    <t>https://www.hackster.io/RONDAGDAG/</t>
  </si>
  <si>
    <t>Hotness === Serverless - Learn how to harness the power of Lambda's in AWS</t>
  </si>
  <si>
    <t>How a PoC at home can scale to Enterprise Level using Custom Vision APIs</t>
  </si>
  <si>
    <t>How do you change the world? By developing future women leaders</t>
  </si>
  <si>
    <t>How not to be the best app no one uses: Effective Onboarding for fun &amp; profit</t>
  </si>
  <si>
    <t>Kendall Miller</t>
  </si>
  <si>
    <t>How to build video streaming iOS and Android apps</t>
  </si>
  <si>
    <t>How to Fold a Fitted Sheet the Simple Way, not the Perfect Way</t>
  </si>
  <si>
    <t>Steph Carter</t>
  </si>
  <si>
    <t>How to Improve Your Task Estimates by 0% to 1,000%</t>
  </si>
  <si>
    <t>How to Keep up with Technology: a Systems Based Approach</t>
  </si>
  <si>
    <t>I Built an Artificial Pancreas</t>
  </si>
  <si>
    <t>I'd Hire more Women if they Would Apply!</t>
  </si>
  <si>
    <t>Ronda Bergman</t>
  </si>
  <si>
    <t>If Your Tests Could Talk</t>
  </si>
  <si>
    <t>Information Architecture For The Soul</t>
  </si>
  <si>
    <t>Ryan Albertson</t>
  </si>
  <si>
    <t>Insight from the Crowd</t>
  </si>
  <si>
    <t>Intro to Progressive Web Apps</t>
  </si>
  <si>
    <t>chiefcll‏</t>
  </si>
  <si>
    <t>Introducing Juvet: Building Bots in Elixir</t>
  </si>
  <si>
    <t>Introduction to Game Development with Unity Part 1</t>
  </si>
  <si>
    <t>Mike Geig</t>
  </si>
  <si>
    <t>Introduction to Game Development with Unity Part 2</t>
  </si>
  <si>
    <t>Is AI right for me?</t>
  </si>
  <si>
    <t>KidzMash</t>
  </si>
  <si>
    <t>https://aetherical.github.io/sedimentary</t>
  </si>
  <si>
    <t>Matt Williams</t>
  </si>
  <si>
    <t>Jump Into JSON. Rush Into REST.</t>
  </si>
  <si>
    <t>Just because you can do something, doesn't mean you should!</t>
  </si>
  <si>
    <t>Angel Thomas‏</t>
  </si>
  <si>
    <t>Kafka the hard parts.</t>
  </si>
  <si>
    <t>https://speakerdeck.com/keathley/kafka-the-hard-parts</t>
  </si>
  <si>
    <t>Chris Keathley</t>
  </si>
  <si>
    <t>Keeping Up With Technology</t>
  </si>
  <si>
    <t>http://www.sqlgene.com/keepingup/</t>
  </si>
  <si>
    <t>Kotlin in Android: Learnings from 3 years in production</t>
  </si>
  <si>
    <t>Scott Weber</t>
  </si>
  <si>
    <t>Kotlin, Going Native &amp; Beyond</t>
  </si>
  <si>
    <t>https://github.com/samus/mpp_chuck_demo</t>
  </si>
  <si>
    <t>Kubernetes hands-on (Workshop)</t>
  </si>
  <si>
    <t>Leadership Guide for the Reluctant Leader</t>
  </si>
  <si>
    <t>https://speakerdeck.com/reverentgeek</t>
  </si>
  <si>
    <t>David Neal</t>
  </si>
  <si>
    <t>https://www.youtube.com/watch?v=0h5X5UKWao8&amp;feature=youtu.be</t>
  </si>
  <si>
    <t>Learn the Art and Science of Troubleshooting</t>
  </si>
  <si>
    <t>Learning the Three Types of Microservices</t>
  </si>
  <si>
    <t>https://b.mamund.com/2VFUUem</t>
  </si>
  <si>
    <t>Mike Amundsen‏</t>
  </si>
  <si>
    <t>Legacy Modernization</t>
  </si>
  <si>
    <t>https://github.com/gbworld/LegacyModernization</t>
  </si>
  <si>
    <t>Lightning Talks</t>
  </si>
  <si>
    <t>Making and Baking an Application Security Department</t>
  </si>
  <si>
    <t>Management 101 - The Hard Parts &amp; Great Parts</t>
  </si>
  <si>
    <t>Ryan Riddell</t>
  </si>
  <si>
    <t>Mastering the Art of Mobile Testing</t>
  </si>
  <si>
    <t>Material Design won't rescue bad UX</t>
  </si>
  <si>
    <t>Megahertz, Gigahertz, Registers and Instructions: How does a CPU actually work?</t>
  </si>
  <si>
    <t>Metaprogramming in .NET</t>
  </si>
  <si>
    <t>Microservice Resiliency with Eureka and Hystrix - Java/Spring Edition</t>
  </si>
  <si>
    <t>https://jeffgbutler.github.io/microservice-workshop-java/</t>
  </si>
  <si>
    <t>Jeff Butler</t>
  </si>
  <si>
    <t>Modern 2FA in ASP.NET Core</t>
  </si>
  <si>
    <t>Ondrej Balas</t>
  </si>
  <si>
    <t>Modern Identity Management (in the Era of Microservices and Serverless)</t>
  </si>
  <si>
    <t>https://github.com/itrjwyss/ModernIdM/</t>
  </si>
  <si>
    <t>Mercedes Wyss‏</t>
  </si>
  <si>
    <t>Mommy, where do new programming languages come from?</t>
  </si>
  <si>
    <t>Jenny Manning</t>
  </si>
  <si>
    <t>MongoDB in the Real World</t>
  </si>
  <si>
    <t>Austin Zellner</t>
  </si>
  <si>
    <t>My users posted what?</t>
  </si>
  <si>
    <t>Harold Pulcher</t>
  </si>
  <si>
    <t>Not your grandpa's training: Using HoloLens to create unique learning experiences</t>
  </si>
  <si>
    <t>Notebooks are still cool...with Jupyter</t>
  </si>
  <si>
    <t>https://github.com/ryanbales/Jupyter-Notebooks-Overview</t>
  </si>
  <si>
    <t>Patterns and Architectures Beyond Microservices</t>
  </si>
  <si>
    <t>Stephen Shary</t>
  </si>
  <si>
    <t>Pivot: How to proceed when things don't work out</t>
  </si>
  <si>
    <t>Post Mortem: Dealing with Failure in Development</t>
  </si>
  <si>
    <t>Power BI Custom Data Connectors - Your Data, Delivered!</t>
  </si>
  <si>
    <t>Practical Steps to Modernizing Legacy Applications</t>
  </si>
  <si>
    <t>Premise: Promises</t>
  </si>
  <si>
    <t>React Native and Expo: Native Apps without the Native Pain</t>
  </si>
  <si>
    <t>Keith Kurak</t>
  </si>
  <si>
    <t>https://github.com/llamaluvr/rn-expo-codemash-2019</t>
  </si>
  <si>
    <t>React: The Big Picture</t>
  </si>
  <si>
    <t>Cory House</t>
  </si>
  <si>
    <t>Real Pirates Seek the C!</t>
  </si>
  <si>
    <t>http://claydowling.com/realpirates/#/</t>
  </si>
  <si>
    <t>Clay Dowling</t>
  </si>
  <si>
    <t>Rekindle Your Love - Avoiding Burnout In A Fast Paced World</t>
  </si>
  <si>
    <t>Kalvin Tuel</t>
  </si>
  <si>
    <t>Revisiting SOLID - Making the 5 principles easy enough to implement</t>
  </si>
  <si>
    <t>Robotic Process Automation: Building a Digital Workforce</t>
  </si>
  <si>
    <t>Rock-Solid Components with Typescript and GraphQL</t>
  </si>
  <si>
    <t>Mat Warger</t>
  </si>
  <si>
    <t>Scenario Testing for Teams</t>
  </si>
  <si>
    <t>Sydney Frandsen</t>
  </si>
  <si>
    <t>Securing Your API Endpoints - A Practical Authentication Guide</t>
  </si>
  <si>
    <t>Seth Petry-Johnson‏</t>
  </si>
  <si>
    <t>Seeking the holy Graal</t>
  </si>
  <si>
    <t>Service Blueprints: How the (User Experience) Sausage is Made</t>
  </si>
  <si>
    <t>Cat Swetel</t>
  </si>
  <si>
    <t>Service Workers in the Wild</t>
  </si>
  <si>
    <t>So You Know How To Code? A Gameshow For Geeks...</t>
  </si>
  <si>
    <t>Spring-loaded GraphQL</t>
  </si>
  <si>
    <t>Successful Integration Testing in .Net</t>
  </si>
  <si>
    <t>Sustainable Styles: Fundamental Principles of CSS Architecture</t>
  </si>
  <si>
    <t>https://nrambeck.github.io/css-architecture/#/</t>
  </si>
  <si>
    <t>Nathan Rambeck</t>
  </si>
  <si>
    <t>@nrambeck</t>
  </si>
  <si>
    <t>Talking Cars: From Can't to CAN</t>
  </si>
  <si>
    <t>http://cyrodox.com/files/talking_cars_slides.zip</t>
  </si>
  <si>
    <t>Samuel Hollifield</t>
  </si>
  <si>
    <t>Tapas Teamwork</t>
  </si>
  <si>
    <t>https://slides.com/scottconnerly/tapas-teamwork</t>
  </si>
  <si>
    <t>Team Happiness for Fun and Profit</t>
  </si>
  <si>
    <t>http://claydowling.com/teamhealth/#/</t>
  </si>
  <si>
    <t>Testing Like You've Never Tested Before (Because You Haven't)</t>
  </si>
  <si>
    <t>https://github.com/stevegrunwell/intro-to-testing#readme</t>
  </si>
  <si>
    <t>Steve Grunwell‏</t>
  </si>
  <si>
    <t>The Actor Model and why you should be using it</t>
  </si>
  <si>
    <t>https://github.com/JoeWirtley/Actor-Model-Presentation</t>
  </si>
  <si>
    <t>Joe Wirtley‏</t>
  </si>
  <si>
    <t>The Admiral's Language of Choice</t>
  </si>
  <si>
    <t>The Agile DBA: A Guide To SQL Server DevOps With SSDT</t>
  </si>
  <si>
    <t>Ryan Booz‏</t>
  </si>
  <si>
    <t>The Alchemy of User Experience</t>
  </si>
  <si>
    <t>https://www.youtube.com/watch?v=O3VaCnFX3JA</t>
  </si>
  <si>
    <t>Benjamin Bykowski</t>
  </si>
  <si>
    <t>The Automation Firehose: Be Strategic and Tactical</t>
  </si>
  <si>
    <t>The Great Gatsby: Building Fast Static Sites in React</t>
  </si>
  <si>
    <t>Kevin Marsh</t>
  </si>
  <si>
    <t>The OWASP Proactive Controls 2018</t>
  </si>
  <si>
    <t>Jim Manico</t>
  </si>
  <si>
    <t>The Perimeter Has Been Shattered: Attacking and Defending Mobility and IoT on the Enterprise Network</t>
  </si>
  <si>
    <t>The Pi, Python, &amp;amp; Paintball? Innovating with Affordable Tech!</t>
  </si>
  <si>
    <t>The Pragmatic Guide to Web Application Security</t>
  </si>
  <si>
    <t>Dustin J Ewers</t>
  </si>
  <si>
    <t>The Reality War</t>
  </si>
  <si>
    <t>The Science of Testing</t>
  </si>
  <si>
    <t>THE STORIES OF THE MOST INFAMOUS BUGS</t>
  </si>
  <si>
    <t>The Two Question Code Quiz: How to Interview Programmers Effectively</t>
  </si>
  <si>
    <t>https://slides.com/scottconnerly/2questioncodequiz</t>
  </si>
  <si>
    <t>Scott Connerly‏</t>
  </si>
  <si>
    <t>The Well Architected Automation Framework</t>
  </si>
  <si>
    <t>https://youtu.be/Tr6bPhFcatU</t>
  </si>
  <si>
    <t>Threat Modeling Workshop</t>
  </si>
  <si>
    <t>Robert Hurlbut</t>
  </si>
  <si>
    <t>Three Ways to Modernize Your Enterprise</t>
  </si>
  <si>
    <t>Time Management for the Distracted Developer</t>
  </si>
  <si>
    <t>Towards a responsible Internet of Things</t>
  </si>
  <si>
    <t>TypeScript for C# Programmers</t>
  </si>
  <si>
    <t>UI Tests Are Fun to Write (If You Write Them Right)</t>
  </si>
  <si>
    <t>Seth Petry-Johnson</t>
  </si>
  <si>
    <t>Understand your brain to build better visualizations.</t>
  </si>
  <si>
    <t>Walt Ritscher</t>
  </si>
  <si>
    <t>http://xamlwonderland.com/</t>
  </si>
  <si>
    <t>Unit Testing in Sass</t>
  </si>
  <si>
    <t>Lindsey Wild‏</t>
  </si>
  <si>
    <t>Unraveling Realities: Building HoloLens Apps With Unity &amp;amp; C#</t>
  </si>
  <si>
    <t>Up &amp; Running with Graph Databases</t>
  </si>
  <si>
    <t>User-Story Driven Threat Modeling</t>
  </si>
  <si>
    <t>Robert Hurlbut‏</t>
  </si>
  <si>
    <t>Versioning 1.0.1</t>
  </si>
  <si>
    <t>Jon Skeet</t>
  </si>
  <si>
    <t>https://codeblog.jonskeet.uk/2018/04/13/backward-compatibility-and-overloading/</t>
  </si>
  <si>
    <t>Visual Version Control with JetBrains IDEs</t>
  </si>
  <si>
    <t>Wait, CSS Can Do That?!</t>
  </si>
  <si>
    <t>Wait...My Mobile App Needs to Be PCI Compliant!??</t>
  </si>
  <si>
    <t>Webpack Encore: Webpack your App and Love it!</t>
  </si>
  <si>
    <t>Ryan Weaver</t>
  </si>
  <si>
    <t>@weaverryan</t>
  </si>
  <si>
    <t>What are Observables and why should I care?</t>
  </si>
  <si>
    <t>Randall Koutnik</t>
  </si>
  <si>
    <t>What Every Beginning Developer Should Know</t>
  </si>
  <si>
    <t>What is a Command Bus?</t>
  </si>
  <si>
    <t>What's All The Fuss About Serverless?</t>
  </si>
  <si>
    <t>Xamarin! Build native iOS and Android apps with .NET</t>
  </si>
  <si>
    <t>Ed Snider</t>
  </si>
  <si>
    <t>http://sndr.io/codemashdemo</t>
  </si>
  <si>
    <t>Xamarin.Forms from Scratch to Store</t>
  </si>
  <si>
    <t>Jesse Liberty</t>
  </si>
  <si>
    <t>https://github.com/JesseLiberty/XamarinWorkshop</t>
  </si>
  <si>
    <t>Your dreams don't work unless you do</t>
  </si>
  <si>
    <t>ZAPping Security Vulnerabilities in Your Development Pipeline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</si>
</sst>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9">
    <font>
      <sz val="10.0"/>
      <color rgb="FF000000"/>
      <name val="Arial"/>
    </font>
    <font>
      <u/>
      <color rgb="FF0000FF"/>
    </font>
    <font>
      <b/>
    </font>
    <font/>
    <font>
      <b/>
      <u/>
      <color rgb="FF0000FF"/>
    </font>
    <font>
      <u/>
      <color rgb="FF0000FF"/>
    </font>
    <font>
      <sz val="10.0"/>
      <color rgb="FF333333"/>
      <name val="Arial"/>
    </font>
    <font>
      <u/>
      <color rgb="FF0000FF"/>
    </font>
    <font>
      <color rgb="FF000000"/>
    </font>
    <font>
      <u/>
      <color rgb="FF0000FF"/>
    </font>
    <font>
      <u/>
      <color rgb="FF0000FF"/>
    </font>
    <font>
      <u/>
      <color rgb="FF0000FF"/>
    </font>
    <font>
      <u/>
      <color rgb="FF000000"/>
      <name val="Arial"/>
    </font>
    <font>
      <u/>
      <color rgb="FF1155CC"/>
      <name val="Arial"/>
    </font>
    <font>
      <u/>
      <color rgb="FF0000FF"/>
    </font>
    <font>
      <u/>
      <color rgb="FF0000FF"/>
    </font>
    <font>
      <u/>
      <sz val="10.0"/>
      <color rgb="FF0000FF"/>
    </font>
    <font>
      <u/>
      <color rgb="FF0000FF"/>
    </font>
    <font>
      <u/>
      <sz val="10.0"/>
      <color rgb="FF717777"/>
      <name val="Arial"/>
    </font>
    <font>
      <u/>
      <sz val="10.0"/>
      <color rgb="FF717777"/>
      <name val="Arial"/>
    </font>
    <font>
      <color rgb="FF000000"/>
      <name val="Arial"/>
    </font>
    <font>
      <u/>
      <sz val="11.0"/>
      <color rgb="FF000000"/>
      <name val="Inconsolata"/>
    </font>
    <font>
      <u/>
      <color rgb="FF0000FF"/>
    </font>
    <font>
      <sz val="10.0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b/>
      <u/>
      <sz val="10.0"/>
      <color rgb="FF000000"/>
      <name val="Arial"/>
    </font>
    <font>
      <u/>
      <sz val="10.0"/>
      <color rgb="FF0000FF"/>
      <name val="Arial"/>
    </font>
    <font>
      <u/>
      <color rgb="FF0000FF"/>
      <name val="Arial"/>
    </font>
    <font>
      <u/>
      <color rgb="FF0000FF"/>
    </font>
    <font>
      <sz val="10.0"/>
      <color rgb="FF24292E"/>
      <name val="Arial"/>
    </font>
    <font>
      <b/>
      <name val="Arial"/>
    </font>
    <font>
      <name val="Arial"/>
    </font>
    <font>
      <u/>
      <color rgb="FF1155CC"/>
      <name val="Arial"/>
    </font>
    <font>
      <u/>
      <color rgb="FF1155CC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6">
    <border/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/>
    </xf>
    <xf borderId="1" fillId="2" fontId="2" numFmtId="0" xfId="0" applyAlignment="1" applyBorder="1" applyFont="1">
      <alignment horizontal="center" readingOrder="0" shrinkToFit="0" wrapText="0"/>
    </xf>
    <xf borderId="0" fillId="2" fontId="2" numFmtId="0" xfId="0" applyAlignment="1" applyFont="1">
      <alignment horizontal="center" readingOrder="0"/>
    </xf>
    <xf borderId="0" fillId="2" fontId="2" numFmtId="0" xfId="0" applyAlignment="1" applyFont="1">
      <alignment horizontal="center" readingOrder="0" shrinkToFit="0" wrapText="0"/>
    </xf>
    <xf borderId="1" fillId="0" fontId="3" numFmtId="0" xfId="0" applyBorder="1" applyFont="1"/>
    <xf borderId="0" fillId="0" fontId="3" numFmtId="0" xfId="0" applyAlignment="1" applyFont="1">
      <alignment horizontal="center"/>
    </xf>
    <xf borderId="2" fillId="0" fontId="3" numFmtId="0" xfId="0" applyBorder="1" applyFont="1"/>
    <xf borderId="3" fillId="2" fontId="2" numFmtId="0" xfId="0" applyAlignment="1" applyBorder="1" applyFont="1">
      <alignment horizontal="center" readingOrder="0"/>
    </xf>
    <xf borderId="4" fillId="2" fontId="2" numFmtId="0" xfId="0" applyAlignment="1" applyBorder="1" applyFont="1">
      <alignment horizontal="center" readingOrder="0" shrinkToFit="0" wrapText="0"/>
    </xf>
    <xf borderId="3" fillId="0" fontId="3" numFmtId="0" xfId="0" applyBorder="1" applyFont="1"/>
    <xf borderId="3" fillId="0" fontId="3" numFmtId="0" xfId="0" applyAlignment="1" applyBorder="1" applyFont="1">
      <alignment horizontal="center"/>
    </xf>
    <xf borderId="1" fillId="0" fontId="4" numFmtId="0" xfId="0" applyAlignment="1" applyBorder="1" applyFont="1">
      <alignment horizontal="left" readingOrder="0"/>
    </xf>
    <xf borderId="1" fillId="0" fontId="3" numFmtId="0" xfId="0" applyAlignment="1" applyBorder="1" applyFont="1">
      <alignment readingOrder="0" shrinkToFit="0" wrapText="0"/>
    </xf>
    <xf borderId="1" fillId="0" fontId="5" numFmtId="0" xfId="0" applyAlignment="1" applyBorder="1" applyFont="1">
      <alignment readingOrder="0" shrinkToFit="0" wrapText="0"/>
    </xf>
    <xf borderId="0" fillId="3" fontId="6" numFmtId="0" xfId="0" applyAlignment="1" applyFill="1" applyFont="1">
      <alignment horizontal="center" readingOrder="0"/>
    </xf>
    <xf borderId="0" fillId="0" fontId="7" numFmtId="0" xfId="0" applyAlignment="1" applyFont="1">
      <alignment horizontal="center" readingOrder="0"/>
    </xf>
    <xf borderId="5" fillId="0" fontId="3" numFmtId="0" xfId="0" applyAlignment="1" applyBorder="1" applyFont="1">
      <alignment shrinkToFit="0" wrapText="0"/>
    </xf>
    <xf borderId="1" fillId="0" fontId="3" numFmtId="0" xfId="0" applyAlignment="1" applyBorder="1" applyFont="1">
      <alignment shrinkToFit="0" wrapText="0"/>
    </xf>
    <xf borderId="1" fillId="0" fontId="2" numFmtId="0" xfId="0" applyAlignment="1" applyBorder="1" applyFont="1">
      <alignment horizontal="left" readingOrder="0"/>
    </xf>
    <xf borderId="0" fillId="0" fontId="8" numFmtId="0" xfId="0" applyAlignment="1" applyFont="1">
      <alignment horizontal="center" readingOrder="0"/>
    </xf>
    <xf borderId="0" fillId="0" fontId="0" numFmtId="0" xfId="0" applyAlignment="1" applyFont="1">
      <alignment horizontal="center" readingOrder="0"/>
    </xf>
    <xf borderId="5" fillId="0" fontId="9" numFmtId="0" xfId="0" applyAlignment="1" applyBorder="1" applyFont="1">
      <alignment readingOrder="0" shrinkToFit="0" wrapText="0"/>
    </xf>
    <xf borderId="1" fillId="0" fontId="10" numFmtId="0" xfId="0" applyAlignment="1" applyBorder="1" applyFont="1">
      <alignment shrinkToFit="0" wrapText="0"/>
    </xf>
    <xf borderId="5" fillId="0" fontId="11" numFmtId="0" xfId="0" applyAlignment="1" applyBorder="1" applyFont="1">
      <alignment shrinkToFit="0" wrapText="0"/>
    </xf>
    <xf borderId="0" fillId="0" fontId="3" numFmtId="0" xfId="0" applyAlignment="1" applyFont="1">
      <alignment horizontal="center" readingOrder="0"/>
    </xf>
    <xf borderId="0" fillId="3" fontId="12" numFmtId="0" xfId="0" applyAlignment="1" applyFont="1">
      <alignment horizontal="center" readingOrder="0"/>
    </xf>
    <xf borderId="0" fillId="0" fontId="3" numFmtId="0" xfId="0" applyAlignment="1" applyFont="1">
      <alignment readingOrder="0" shrinkToFit="0" wrapText="0"/>
    </xf>
    <xf borderId="0" fillId="0" fontId="0" numFmtId="0" xfId="0" applyAlignment="1" applyFont="1">
      <alignment horizontal="center"/>
    </xf>
    <xf borderId="0" fillId="0" fontId="3" numFmtId="0" xfId="0" applyAlignment="1" applyFont="1">
      <alignment shrinkToFit="0" wrapText="0"/>
    </xf>
    <xf borderId="0" fillId="3" fontId="13" numFmtId="0" xfId="0" applyAlignment="1" applyFont="1">
      <alignment horizontal="center" readingOrder="0"/>
    </xf>
    <xf borderId="1" fillId="0" fontId="14" numFmtId="0" xfId="0" applyAlignment="1" applyBorder="1" applyFont="1">
      <alignment readingOrder="0"/>
    </xf>
    <xf borderId="1" fillId="0" fontId="2" numFmtId="0" xfId="0" applyAlignment="1" applyBorder="1" applyFont="1">
      <alignment horizontal="left" readingOrder="0"/>
    </xf>
    <xf borderId="1" fillId="0" fontId="15" numFmtId="0" xfId="0" applyBorder="1" applyFont="1"/>
    <xf borderId="0" fillId="3" fontId="0" numFmtId="0" xfId="0" applyAlignment="1" applyFont="1">
      <alignment horizontal="center" readingOrder="0"/>
    </xf>
    <xf borderId="0" fillId="0" fontId="16" numFmtId="0" xfId="0" applyAlignment="1" applyFont="1">
      <alignment horizontal="center" readingOrder="0"/>
    </xf>
    <xf borderId="5" fillId="0" fontId="17" numFmtId="0" xfId="0" applyAlignment="1" applyBorder="1" applyFont="1">
      <alignment readingOrder="0" shrinkToFit="0" wrapText="0"/>
    </xf>
    <xf borderId="0" fillId="3" fontId="18" numFmtId="0" xfId="0" applyAlignment="1" applyFont="1">
      <alignment horizontal="left" readingOrder="0"/>
    </xf>
    <xf borderId="1" fillId="3" fontId="19" numFmtId="0" xfId="0" applyAlignment="1" applyBorder="1" applyFont="1">
      <alignment horizontal="left" readingOrder="0"/>
    </xf>
    <xf borderId="0" fillId="3" fontId="20" numFmtId="0" xfId="0" applyAlignment="1" applyFont="1">
      <alignment horizontal="center" readingOrder="0"/>
    </xf>
    <xf borderId="0" fillId="3" fontId="21" numFmtId="0" xfId="0" applyAlignment="1" applyFont="1">
      <alignment horizontal="left" readingOrder="0"/>
    </xf>
    <xf borderId="0" fillId="0" fontId="22" numFmtId="0" xfId="0" applyAlignment="1" applyFont="1">
      <alignment horizontal="center"/>
    </xf>
    <xf borderId="0" fillId="0" fontId="23" numFmtId="0" xfId="0" applyAlignment="1" applyFont="1">
      <alignment horizontal="center" readingOrder="0"/>
    </xf>
    <xf borderId="5" fillId="0" fontId="24" numFmtId="0" xfId="0" applyAlignment="1" applyBorder="1" applyFont="1">
      <alignment readingOrder="0"/>
    </xf>
    <xf borderId="5" fillId="0" fontId="25" numFmtId="0" xfId="0" applyAlignment="1" applyBorder="1" applyFont="1">
      <alignment shrinkToFit="0" wrapText="0"/>
    </xf>
    <xf borderId="5" fillId="0" fontId="3" numFmtId="0" xfId="0" applyBorder="1" applyFont="1"/>
    <xf borderId="1" fillId="0" fontId="3" numFmtId="0" xfId="0" applyAlignment="1" applyBorder="1" applyFont="1">
      <alignment readingOrder="0"/>
    </xf>
    <xf borderId="1" fillId="0" fontId="26" numFmtId="0" xfId="0" applyAlignment="1" applyBorder="1" applyFont="1">
      <alignment shrinkToFit="0" wrapText="0"/>
    </xf>
    <xf borderId="0" fillId="0" fontId="27" numFmtId="0" xfId="0" applyAlignment="1" applyFont="1">
      <alignment horizontal="center"/>
    </xf>
    <xf borderId="1" fillId="0" fontId="28" numFmtId="0" xfId="0" applyAlignment="1" applyBorder="1" applyFont="1">
      <alignment readingOrder="0" shrinkToFit="0" wrapText="0"/>
    </xf>
    <xf borderId="0" fillId="0" fontId="29" numFmtId="0" xfId="0" applyAlignment="1" applyFont="1">
      <alignment horizontal="center" readingOrder="0"/>
    </xf>
    <xf borderId="1" fillId="0" fontId="2" numFmtId="0" xfId="0" applyAlignment="1" applyBorder="1" applyFont="1">
      <alignment readingOrder="0"/>
    </xf>
    <xf borderId="1" fillId="3" fontId="30" numFmtId="0" xfId="0" applyAlignment="1" applyBorder="1" applyFont="1">
      <alignment readingOrder="0"/>
    </xf>
    <xf borderId="1" fillId="3" fontId="31" numFmtId="0" xfId="0" applyAlignment="1" applyBorder="1" applyFont="1">
      <alignment readingOrder="0"/>
    </xf>
    <xf borderId="1" fillId="0" fontId="32" numFmtId="0" xfId="0" applyAlignment="1" applyBorder="1" applyFont="1">
      <alignment readingOrder="0"/>
    </xf>
    <xf borderId="0" fillId="0" fontId="33" numFmtId="0" xfId="0" applyFont="1"/>
    <xf borderId="1" fillId="0" fontId="3" numFmtId="0" xfId="0" applyAlignment="1" applyBorder="1" applyFont="1">
      <alignment horizontal="center"/>
    </xf>
    <xf borderId="0" fillId="3" fontId="34" numFmtId="0" xfId="0" applyAlignment="1" applyFont="1">
      <alignment horizontal="center" readingOrder="0"/>
    </xf>
    <xf borderId="1" fillId="0" fontId="35" numFmtId="0" xfId="0" applyAlignment="1" applyBorder="1" applyFont="1">
      <alignment vertical="bottom"/>
    </xf>
    <xf borderId="1" fillId="0" fontId="36" numFmtId="0" xfId="0" applyAlignment="1" applyBorder="1" applyFont="1">
      <alignment shrinkToFit="0" vertical="bottom" wrapText="0"/>
    </xf>
    <xf borderId="1" fillId="0" fontId="37" numFmtId="0" xfId="0" applyAlignment="1" applyBorder="1" applyFont="1">
      <alignment shrinkToFit="0" vertical="bottom" wrapText="0"/>
    </xf>
    <xf borderId="0" fillId="0" fontId="20" numFmtId="0" xfId="0" applyAlignment="1" applyFont="1">
      <alignment horizontal="center" vertical="bottom"/>
    </xf>
    <xf borderId="0" fillId="0" fontId="38" numFmtId="0" xfId="0" applyAlignment="1" applyFont="1">
      <alignment horizontal="center" vertical="bottom"/>
    </xf>
    <xf borderId="0" fillId="0" fontId="36" numFmtId="0" xfId="0" applyAlignment="1" applyFont="1">
      <alignment vertical="bottom"/>
    </xf>
    <xf borderId="1" fillId="0" fontId="36" numFmtId="0" xfId="0" applyAlignment="1" applyBorder="1" applyFont="1">
      <alignment vertical="bottom"/>
    </xf>
    <xf borderId="5" fillId="0" fontId="36" numFmtId="0" xfId="0" applyAlignment="1" applyBorder="1" applyFont="1">
      <alignment vertical="bottom"/>
    </xf>
    <xf borderId="0" fillId="0" fontId="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speakerdeck.com/keathley/kafka-the-hard-parts" TargetMode="External"/><Relationship Id="rId42" Type="http://schemas.openxmlformats.org/officeDocument/2006/relationships/hyperlink" Target="https://github.com/samus/mpp_chuck_demo" TargetMode="External"/><Relationship Id="rId41" Type="http://schemas.openxmlformats.org/officeDocument/2006/relationships/hyperlink" Target="http://www.sqlgene.com/keepingup/" TargetMode="External"/><Relationship Id="rId44" Type="http://schemas.openxmlformats.org/officeDocument/2006/relationships/hyperlink" Target="https://www.youtube.com/watch?v=0h5X5UKWao8&amp;feature=youtu.be" TargetMode="External"/><Relationship Id="rId43" Type="http://schemas.openxmlformats.org/officeDocument/2006/relationships/hyperlink" Target="https://speakerdeck.com/reverentgeek" TargetMode="External"/><Relationship Id="rId46" Type="http://schemas.openxmlformats.org/officeDocument/2006/relationships/hyperlink" Target="https://github.com/gbworld/LegacyModernization" TargetMode="External"/><Relationship Id="rId45" Type="http://schemas.openxmlformats.org/officeDocument/2006/relationships/hyperlink" Target="https://b.mamund.com/2VFUUem" TargetMode="External"/><Relationship Id="rId1" Type="http://schemas.openxmlformats.org/officeDocument/2006/relationships/hyperlink" Target="http://blog.petdance.com/" TargetMode="External"/><Relationship Id="rId2" Type="http://schemas.openxmlformats.org/officeDocument/2006/relationships/hyperlink" Target="https://www.youtube.com/watch?v=NY9spSccR-0&amp;t=428s" TargetMode="External"/><Relationship Id="rId3" Type="http://schemas.openxmlformats.org/officeDocument/2006/relationships/hyperlink" Target="http://www.codemash.org/speaker-details?id=870ab107-e506-49e2-83f4-ba483e72aec6" TargetMode="External"/><Relationship Id="rId4" Type="http://schemas.openxmlformats.org/officeDocument/2006/relationships/hyperlink" Target="http://www.codemash.org/speaker-details?id=870ab107-e506-49e2-83f4-ba483e72aec6" TargetMode="External"/><Relationship Id="rId9" Type="http://schemas.openxmlformats.org/officeDocument/2006/relationships/hyperlink" Target="https://developer.android.com/jetpack/" TargetMode="External"/><Relationship Id="rId48" Type="http://schemas.openxmlformats.org/officeDocument/2006/relationships/hyperlink" Target="http://asp.net" TargetMode="External"/><Relationship Id="rId47" Type="http://schemas.openxmlformats.org/officeDocument/2006/relationships/hyperlink" Target="https://jeffgbutler.github.io/microservice-workshop-java/" TargetMode="External"/><Relationship Id="rId49" Type="http://schemas.openxmlformats.org/officeDocument/2006/relationships/hyperlink" Target="https://github.com/itrjwyss/ModernIdM/" TargetMode="External"/><Relationship Id="rId5" Type="http://schemas.openxmlformats.org/officeDocument/2006/relationships/hyperlink" Target="https://geekygirlsarah.com/primer-fp" TargetMode="External"/><Relationship Id="rId6" Type="http://schemas.openxmlformats.org/officeDocument/2006/relationships/hyperlink" Target="https://www.dropbox.com/s/8fno7zrqbkveace/A%20Primer%20on%20Functional%20Programming.pdf?dl=0" TargetMode="External"/><Relationship Id="rId7" Type="http://schemas.openxmlformats.org/officeDocument/2006/relationships/hyperlink" Target="https://speakerdeck.com/kimberlyarnett/iosintroslides" TargetMode="External"/><Relationship Id="rId8" Type="http://schemas.openxmlformats.org/officeDocument/2006/relationships/hyperlink" Target="https://github.com/karnett/SwiftIntroiOS" TargetMode="External"/><Relationship Id="rId31" Type="http://schemas.openxmlformats.org/officeDocument/2006/relationships/hyperlink" Target="http://www.codemash.org/speaker-details?id=a25e6534-f680-4487-83da-9f58329af3a9" TargetMode="External"/><Relationship Id="rId30" Type="http://schemas.openxmlformats.org/officeDocument/2006/relationships/hyperlink" Target="https://getting-unstuck.stevenhicks.me/" TargetMode="External"/><Relationship Id="rId33" Type="http://schemas.openxmlformats.org/officeDocument/2006/relationships/hyperlink" Target="https://github.com/tehfedaykin/complicated-forms-app" TargetMode="External"/><Relationship Id="rId32" Type="http://schemas.openxmlformats.org/officeDocument/2006/relationships/hyperlink" Target="https://icanhazdadjoke.com" TargetMode="External"/><Relationship Id="rId35" Type="http://schemas.openxmlformats.org/officeDocument/2006/relationships/hyperlink" Target="https://exceptionnotfound.net/speaking-engagements/" TargetMode="External"/><Relationship Id="rId34" Type="http://schemas.openxmlformats.org/officeDocument/2006/relationships/hyperlink" Target="https://github.com/g33klady/TodoApiSample" TargetMode="External"/><Relationship Id="rId37" Type="http://schemas.openxmlformats.org/officeDocument/2006/relationships/hyperlink" Target="https://www.hackster.io/RONDAGDAG/" TargetMode="External"/><Relationship Id="rId36" Type="http://schemas.openxmlformats.org/officeDocument/2006/relationships/hyperlink" Target="http://www.dagdag.net" TargetMode="External"/><Relationship Id="rId39" Type="http://schemas.openxmlformats.org/officeDocument/2006/relationships/hyperlink" Target="https://aetherical.github.io/sedimentary" TargetMode="External"/><Relationship Id="rId38" Type="http://schemas.openxmlformats.org/officeDocument/2006/relationships/hyperlink" Target="http://www.codemash.org/speaker-details?id=ea20465a-9d22-4e73-9305-8069ccd5773f" TargetMode="External"/><Relationship Id="rId62" Type="http://schemas.openxmlformats.org/officeDocument/2006/relationships/hyperlink" Target="https://youtu.be/Tr6bPhFcatU" TargetMode="External"/><Relationship Id="rId61" Type="http://schemas.openxmlformats.org/officeDocument/2006/relationships/hyperlink" Target="https://slides.com/scottconnerly/2questioncodequiz" TargetMode="External"/><Relationship Id="rId20" Type="http://schemas.openxmlformats.org/officeDocument/2006/relationships/hyperlink" Target="http://www.codemash.org/speaker-details?id=31e43dfa-86f2-4eb6-b859-e9d0a927d2fd" TargetMode="External"/><Relationship Id="rId64" Type="http://schemas.openxmlformats.org/officeDocument/2006/relationships/hyperlink" Target="https://exceptionnotfound.net/speaking-engagements/" TargetMode="External"/><Relationship Id="rId63" Type="http://schemas.openxmlformats.org/officeDocument/2006/relationships/hyperlink" Target="http://www.codemash.org/speaker-details?id=6925ead5-98ec-440d-85e8-e12cd12bcab9" TargetMode="External"/><Relationship Id="rId22" Type="http://schemas.openxmlformats.org/officeDocument/2006/relationships/hyperlink" Target="http://www.codemash.org/speaker-details?id=a25e6534-f680-4487-83da-9f58329af3a9" TargetMode="External"/><Relationship Id="rId66" Type="http://schemas.openxmlformats.org/officeDocument/2006/relationships/hyperlink" Target="https://codeblog.jonskeet.uk/2018/04/13/backward-compatibility-and-overloading/" TargetMode="External"/><Relationship Id="rId21" Type="http://schemas.openxmlformats.org/officeDocument/2006/relationships/hyperlink" Target="https://github.com/TAGraves/production-ready-rn-codemash-2019" TargetMode="External"/><Relationship Id="rId65" Type="http://schemas.openxmlformats.org/officeDocument/2006/relationships/hyperlink" Target="http://xamlwonderland.com/" TargetMode="External"/><Relationship Id="rId24" Type="http://schemas.openxmlformats.org/officeDocument/2006/relationships/hyperlink" Target="https://github.com/jayharris/workshop-oidc/wiki" TargetMode="External"/><Relationship Id="rId68" Type="http://schemas.openxmlformats.org/officeDocument/2006/relationships/hyperlink" Target="https://github.com/JesseLiberty/XamarinWorkshop" TargetMode="External"/><Relationship Id="rId23" Type="http://schemas.openxmlformats.org/officeDocument/2006/relationships/hyperlink" Target="http://amlyhamm.com/talks/codemash-2019/" TargetMode="External"/><Relationship Id="rId67" Type="http://schemas.openxmlformats.org/officeDocument/2006/relationships/hyperlink" Target="http://sndr.io/codemashdemo" TargetMode="External"/><Relationship Id="rId60" Type="http://schemas.openxmlformats.org/officeDocument/2006/relationships/hyperlink" Target="https://www.youtube.com/watch?v=O3VaCnFX3JA" TargetMode="External"/><Relationship Id="rId26" Type="http://schemas.openxmlformats.org/officeDocument/2006/relationships/hyperlink" Target="http://www.codemash.org/speaker-details?id=37d9635f-feb9-46a2-a517-c3b278005728" TargetMode="External"/><Relationship Id="rId25" Type="http://schemas.openxmlformats.org/officeDocument/2006/relationships/hyperlink" Target="https://github.com/jayharris/workshop-oidc/wiki" TargetMode="External"/><Relationship Id="rId69" Type="http://schemas.openxmlformats.org/officeDocument/2006/relationships/drawing" Target="../drawings/drawing1.xml"/><Relationship Id="rId28" Type="http://schemas.openxmlformats.org/officeDocument/2006/relationships/hyperlink" Target="http://slides.com/cr0wst/fractals" TargetMode="External"/><Relationship Id="rId27" Type="http://schemas.openxmlformats.org/officeDocument/2006/relationships/hyperlink" Target="https://github.com/jcharlton777/Experincing-A11y" TargetMode="External"/><Relationship Id="rId29" Type="http://schemas.openxmlformats.org/officeDocument/2006/relationships/hyperlink" Target="https://github.com/break-stuff/ShameShopper" TargetMode="External"/><Relationship Id="rId51" Type="http://schemas.openxmlformats.org/officeDocument/2006/relationships/hyperlink" Target="https://github.com/llamaluvr/rn-expo-codemash-2019" TargetMode="External"/><Relationship Id="rId50" Type="http://schemas.openxmlformats.org/officeDocument/2006/relationships/hyperlink" Target="https://github.com/ryanbales/Jupyter-Notebooks-Overview" TargetMode="External"/><Relationship Id="rId53" Type="http://schemas.openxmlformats.org/officeDocument/2006/relationships/hyperlink" Target="https://nrambeck.github.io/css-architecture/" TargetMode="External"/><Relationship Id="rId52" Type="http://schemas.openxmlformats.org/officeDocument/2006/relationships/hyperlink" Target="http://claydowling.com/realpirates/" TargetMode="External"/><Relationship Id="rId11" Type="http://schemas.openxmlformats.org/officeDocument/2006/relationships/hyperlink" Target="https://twitter.com/crayzeigh/status/1083461161658527746" TargetMode="External"/><Relationship Id="rId55" Type="http://schemas.openxmlformats.org/officeDocument/2006/relationships/hyperlink" Target="http://www.codemash.org/speaker-details?id=f0761036-28df-4edc-b4e8-e0a7a83d498e" TargetMode="External"/><Relationship Id="rId10" Type="http://schemas.openxmlformats.org/officeDocument/2006/relationships/hyperlink" Target="https://github.com/nloding/be-an-a11y-with-react" TargetMode="External"/><Relationship Id="rId54" Type="http://schemas.openxmlformats.org/officeDocument/2006/relationships/hyperlink" Target="http://cyrodox.com/files/talking_cars_slides.zip" TargetMode="External"/><Relationship Id="rId13" Type="http://schemas.openxmlformats.org/officeDocument/2006/relationships/hyperlink" Target="https://github.com/ArchitectNow/ArchitectNow.ApiStarter" TargetMode="External"/><Relationship Id="rId57" Type="http://schemas.openxmlformats.org/officeDocument/2006/relationships/hyperlink" Target="http://claydowling.com/teamhealth/" TargetMode="External"/><Relationship Id="rId12" Type="http://schemas.openxmlformats.org/officeDocument/2006/relationships/hyperlink" Target="https://youtu.be/_PdPxj4yrNk" TargetMode="External"/><Relationship Id="rId56" Type="http://schemas.openxmlformats.org/officeDocument/2006/relationships/hyperlink" Target="https://slides.com/scottconnerly/tapas-teamwork" TargetMode="External"/><Relationship Id="rId15" Type="http://schemas.openxmlformats.org/officeDocument/2006/relationships/hyperlink" Target="https://github.com/ArchitectNow/ArchitectNow.ApiStarter" TargetMode="External"/><Relationship Id="rId59" Type="http://schemas.openxmlformats.org/officeDocument/2006/relationships/hyperlink" Target="https://github.com/JoeWirtley/Actor-Model-Presentation" TargetMode="External"/><Relationship Id="rId14" Type="http://schemas.openxmlformats.org/officeDocument/2006/relationships/hyperlink" Target="http://www.codemash.org/speaker-details?id=b699d89f-f1d6-4fd5-be01-2594a950f55d" TargetMode="External"/><Relationship Id="rId58" Type="http://schemas.openxmlformats.org/officeDocument/2006/relationships/hyperlink" Target="https://github.com/stevegrunwell/intro-to-testing" TargetMode="External"/><Relationship Id="rId17" Type="http://schemas.openxmlformats.org/officeDocument/2006/relationships/hyperlink" Target="https://design-systems.buildright.io/" TargetMode="External"/><Relationship Id="rId16" Type="http://schemas.openxmlformats.org/officeDocument/2006/relationships/hyperlink" Target="http://www.codemash.org/speaker-details?id=b699d89f-f1d6-4fd5-be01-2594a950f55d" TargetMode="External"/><Relationship Id="rId19" Type="http://schemas.openxmlformats.org/officeDocument/2006/relationships/hyperlink" Target="http://www.codemash.org/speaker-details?id=36a25c2a-4204-42f0-9ba8-d7b9c6f67226" TargetMode="External"/><Relationship Id="rId18" Type="http://schemas.openxmlformats.org/officeDocument/2006/relationships/hyperlink" Target="http://www.codemash.org/speaker-details?id=36a25c2a-4204-42f0-9ba8-d7b9c6f67226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codecadwallader.com/2019/01/13/starred-notes-from-codemash-2019/" TargetMode="External"/><Relationship Id="rId2" Type="http://schemas.openxmlformats.org/officeDocument/2006/relationships/hyperlink" Target="https://dev.to/bocajnotnef/codemash-2019-reading-list-32jh" TargetMode="Externa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76.43"/>
    <col customWidth="1" min="2" max="2" width="10.14"/>
    <col customWidth="1" min="3" max="3" width="48.71"/>
    <col customWidth="1" min="4" max="4" width="48.29"/>
    <col customWidth="1" min="5" max="5" width="17.57"/>
    <col customWidth="1" min="6" max="6" width="17.43"/>
    <col customWidth="1" min="7" max="7" width="8.71"/>
    <col customWidth="1" min="8" max="8" width="8.14"/>
    <col customWidth="1" min="9" max="10" width="43.0"/>
  </cols>
  <sheetData>
    <row r="1">
      <c r="A1" s="2" t="s">
        <v>2</v>
      </c>
      <c r="B1" s="3" t="s">
        <v>3</v>
      </c>
      <c r="C1" s="3" t="s">
        <v>4</v>
      </c>
      <c r="D1" s="4" t="s">
        <v>5</v>
      </c>
      <c r="H1" s="3"/>
      <c r="I1" s="5" t="s">
        <v>6</v>
      </c>
      <c r="K1" s="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>
      <c r="A2" s="6"/>
      <c r="B2" s="8"/>
      <c r="C2" s="8"/>
      <c r="D2" s="9" t="s">
        <v>7</v>
      </c>
      <c r="E2" s="4" t="s">
        <v>8</v>
      </c>
      <c r="G2" s="4" t="s">
        <v>9</v>
      </c>
      <c r="I2" s="10" t="s">
        <v>10</v>
      </c>
      <c r="J2" s="11"/>
      <c r="K2" s="8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</row>
    <row r="3">
      <c r="A3" s="13" t="str">
        <f>hyperlink(C3, "'Did you get my message?' - A comparison of several modern messaging platforms")</f>
        <v>'Did you get my message?' - A comparison of several modern messaging platforms</v>
      </c>
      <c r="B3" s="14" t="s">
        <v>11</v>
      </c>
      <c r="C3" s="15" t="str">
        <f>hyperlink("http://jackbennett.co/wp-content/uploads/2019/01/jack-bennett-messaging-framework-talk-CodeMash-2019-01-10.pdf", "presentation")</f>
        <v>presentation</v>
      </c>
      <c r="D3" s="16" t="s">
        <v>12</v>
      </c>
      <c r="E3" s="7"/>
      <c r="F3" s="7"/>
      <c r="G3" s="17" t="str">
        <f>hyperlink("http://linkedin.com/in/ajbennett", "LinkedIn")</f>
        <v>LinkedIn</v>
      </c>
      <c r="H3" s="14"/>
      <c r="I3" s="18"/>
      <c r="J3" s="19"/>
      <c r="K3" s="6"/>
    </row>
    <row r="4">
      <c r="A4" s="20" t="s">
        <v>13</v>
      </c>
      <c r="B4" s="14" t="s">
        <v>14</v>
      </c>
      <c r="C4" s="19"/>
      <c r="D4" s="21" t="s">
        <v>15</v>
      </c>
      <c r="E4" s="7"/>
      <c r="F4" s="7"/>
      <c r="G4" s="7"/>
      <c r="H4" s="19"/>
      <c r="I4" s="18"/>
      <c r="J4" s="19"/>
      <c r="K4" s="6"/>
    </row>
    <row r="5">
      <c r="A5" s="20" t="s">
        <v>16</v>
      </c>
      <c r="B5" s="14" t="s">
        <v>11</v>
      </c>
      <c r="C5" s="19"/>
      <c r="D5" s="22" t="s">
        <v>17</v>
      </c>
      <c r="E5" s="17" t="str">
        <f>hyperlink("http://twitter.com/intent/user?screen_name=SamCorder", "@SamCorder")</f>
        <v>@SamCorder</v>
      </c>
      <c r="G5" s="17" t="str">
        <f>hyperlink("https://www.linkedin.com/in/samcorder/", "LinkedIn")</f>
        <v>LinkedIn</v>
      </c>
      <c r="H5" s="19"/>
      <c r="I5" s="18"/>
      <c r="J5" s="19"/>
      <c r="K5" s="6"/>
    </row>
    <row r="6">
      <c r="A6" s="20" t="s">
        <v>18</v>
      </c>
      <c r="B6" s="14" t="s">
        <v>11</v>
      </c>
      <c r="C6" s="19"/>
      <c r="D6" s="22" t="s">
        <v>19</v>
      </c>
      <c r="E6" s="17" t="str">
        <f>hyperlink("http://twitter.com/intent/user?screen_name=petdance", "@petdance")</f>
        <v>@petdance</v>
      </c>
      <c r="G6" s="17" t="str">
        <f>hyperlink("https://www.linkedin.com/in/petdance", "LinkedIn")</f>
        <v>LinkedIn</v>
      </c>
      <c r="H6" s="19"/>
      <c r="I6" s="23" t="s">
        <v>20</v>
      </c>
      <c r="J6" s="19"/>
      <c r="K6" s="6"/>
    </row>
    <row r="7">
      <c r="A7" s="20" t="s">
        <v>21</v>
      </c>
      <c r="B7" s="14" t="s">
        <v>11</v>
      </c>
      <c r="C7" s="19"/>
      <c r="D7" s="22" t="s">
        <v>22</v>
      </c>
      <c r="E7" s="17" t="str">
        <f t="shared" ref="E7:E8" si="1">hyperlink("http://twitter.com/intent/user?screen_name=crebma", "@crebma")</f>
        <v>@crebma</v>
      </c>
      <c r="G7" s="7"/>
      <c r="H7" s="19"/>
      <c r="I7" s="18"/>
      <c r="J7" s="19"/>
      <c r="K7" s="6"/>
    </row>
    <row r="8">
      <c r="A8" s="20" t="s">
        <v>23</v>
      </c>
      <c r="B8" s="14" t="s">
        <v>11</v>
      </c>
      <c r="C8" s="19"/>
      <c r="D8" s="22" t="s">
        <v>22</v>
      </c>
      <c r="E8" s="17" t="str">
        <f t="shared" si="1"/>
        <v>@crebma</v>
      </c>
      <c r="G8" s="7"/>
      <c r="H8" s="19"/>
      <c r="I8" s="18"/>
      <c r="J8" s="19"/>
      <c r="K8" s="6"/>
    </row>
    <row r="9">
      <c r="A9" s="20" t="s">
        <v>24</v>
      </c>
      <c r="B9" s="14" t="s">
        <v>11</v>
      </c>
      <c r="C9" s="15" t="s">
        <v>25</v>
      </c>
      <c r="D9" s="22" t="s">
        <v>26</v>
      </c>
      <c r="E9" s="17" t="str">
        <f>hyperlink("http://twitter.com/intent/user?screen_name=mckeeh3", "@mckeeh3")</f>
        <v>@mckeeh3</v>
      </c>
      <c r="G9" s="17" t="str">
        <f>hyperlink("https://www.linkedin.com/in/mckeehugh/", "LinkedIn")</f>
        <v>LinkedIn</v>
      </c>
      <c r="H9" s="14"/>
      <c r="I9" s="23" t="str">
        <f>hyperlink("https://www.lightbend.com/", "Company Website")</f>
        <v>Company Website</v>
      </c>
      <c r="J9" s="24" t="str">
        <f>hyperlink("http://mckeeh3.com/", "blog")</f>
        <v>blog</v>
      </c>
      <c r="K9" s="6"/>
    </row>
    <row r="10">
      <c r="A10" s="20" t="s">
        <v>27</v>
      </c>
      <c r="B10" s="14" t="s">
        <v>11</v>
      </c>
      <c r="C10" s="15" t="str">
        <f>hyperlink("https://www.dropbox.com/s/lmd1prhoid18u15/A%20Better%20Faster%20Pipeline%20for%20Software%20Delivery.pdf.pdf?dl=0", "presentation")</f>
        <v>presentation</v>
      </c>
      <c r="D10" s="22" t="s">
        <v>28</v>
      </c>
      <c r="E10" s="17" t="str">
        <f t="shared" ref="E10:E11" si="2">hyperlink("http://twitter.com/intent/user?screen_name=CoverosGene", "@CoverosGene")</f>
        <v>@CoverosGene</v>
      </c>
      <c r="G10" s="17" t="str">
        <f t="shared" ref="G10:G11" si="3">hyperlink("https://www.linkedin.com/in/gotimer/", "LinkedIn")</f>
        <v>LinkedIn</v>
      </c>
      <c r="H10" s="14"/>
      <c r="I10" s="25" t="str">
        <f t="shared" ref="I10:I11" si="4">hyperlink("https://www.coveros.com/", "Company Website")</f>
        <v>Company Website</v>
      </c>
      <c r="J10" s="24" t="str">
        <f t="shared" ref="J10:J11" si="5">hyperlink("https://www.coveros.com/blog/", "blog")</f>
        <v>blog</v>
      </c>
      <c r="K10" s="6"/>
    </row>
    <row r="11">
      <c r="A11" s="20" t="s">
        <v>29</v>
      </c>
      <c r="B11" s="14" t="s">
        <v>11</v>
      </c>
      <c r="C11" s="15" t="str">
        <f>hyperlink("https://www.dropbox.com/s/4a3t3ex6a11ltcw/A%20Hands%20on%20Intro%20to%20Containers.pdf.pdf?dl=0", "presentation")</f>
        <v>presentation</v>
      </c>
      <c r="D11" s="22" t="s">
        <v>28</v>
      </c>
      <c r="E11" s="17" t="str">
        <f t="shared" si="2"/>
        <v>@CoverosGene</v>
      </c>
      <c r="G11" s="17" t="str">
        <f t="shared" si="3"/>
        <v>LinkedIn</v>
      </c>
      <c r="H11" s="14"/>
      <c r="I11" s="25" t="str">
        <f t="shared" si="4"/>
        <v>Company Website</v>
      </c>
      <c r="J11" s="24" t="str">
        <f t="shared" si="5"/>
        <v>blog</v>
      </c>
      <c r="K11" s="6"/>
    </row>
    <row r="12">
      <c r="A12" s="20" t="s">
        <v>30</v>
      </c>
      <c r="B12" s="14" t="s">
        <v>11</v>
      </c>
      <c r="C12" s="15" t="s">
        <v>31</v>
      </c>
      <c r="D12" s="26" t="s">
        <v>32</v>
      </c>
      <c r="E12" s="27" t="str">
        <f>hyperlink("http://twitter.com/intent/user?screen_name=geekygirlsarah", "@geekygirlsarah")</f>
        <v>@geekygirlsarah</v>
      </c>
      <c r="G12" s="27" t="str">
        <f>hyperlink("https://linkedin.com/in/sarahwithee", "LinkedIn")</f>
        <v>LinkedIn</v>
      </c>
      <c r="H12" s="14"/>
      <c r="I12" s="23" t="s">
        <v>33</v>
      </c>
      <c r="J12" s="24" t="str">
        <f>hyperlink("https://geekygirlsarah.com/", "blog")</f>
        <v>blog</v>
      </c>
      <c r="K12" s="6"/>
    </row>
    <row r="13">
      <c r="A13" s="20" t="s">
        <v>34</v>
      </c>
      <c r="B13" s="14" t="s">
        <v>11</v>
      </c>
      <c r="C13" s="15" t="s">
        <v>35</v>
      </c>
      <c r="D13" s="22" t="s">
        <v>36</v>
      </c>
      <c r="E13" s="27" t="str">
        <f>hyperlink("http://twitter.com/intent/user?screen_name=kimberlypilbeam", "@kimberlypilbeam")</f>
        <v>@kimberlypilbeam</v>
      </c>
      <c r="G13" s="7"/>
      <c r="H13" s="14"/>
      <c r="I13" s="23" t="s">
        <v>37</v>
      </c>
      <c r="J13" s="24" t="str">
        <f>hyperlink("http://kimarnett.com/blog", "blog")</f>
        <v>blog</v>
      </c>
      <c r="K13" s="6"/>
    </row>
    <row r="14">
      <c r="A14" s="20" t="s">
        <v>38</v>
      </c>
      <c r="B14" s="14" t="s">
        <v>11</v>
      </c>
      <c r="C14" s="15" t="str">
        <f>hyperlink("https://github.com/nloding/accessibility-a-walk-in-someone-elses-shoes", "presentation")</f>
        <v>presentation</v>
      </c>
      <c r="D14" s="22" t="s">
        <v>39</v>
      </c>
      <c r="E14" s="17" t="str">
        <f>hyperlink("http://twitter.com/intent/user?screen_name=NathanLoding", "@NathanLoding")</f>
        <v>@NathanLoding</v>
      </c>
      <c r="G14" s="7"/>
      <c r="H14" s="28"/>
      <c r="I14" s="18"/>
      <c r="J14" s="19"/>
      <c r="K14" s="6"/>
    </row>
    <row r="15">
      <c r="A15" s="20" t="s">
        <v>40</v>
      </c>
      <c r="B15" s="14" t="s">
        <v>11</v>
      </c>
      <c r="C15" s="19"/>
      <c r="D15" s="22" t="s">
        <v>41</v>
      </c>
      <c r="E15" s="17" t="str">
        <f>hyperlink("http://twitter.com/intent/user?screen_name=epsilon11", "@epsilon11")</f>
        <v>@epsilon11</v>
      </c>
      <c r="G15" s="17" t="str">
        <f>hyperlink("https://www.linkedin.com/in/rajsubra/", "LinkedIn")</f>
        <v>LinkedIn</v>
      </c>
      <c r="H15" s="19"/>
      <c r="I15" s="25" t="str">
        <f>hyperlink("https://www.testim.io/", "Company Website")</f>
        <v>Company Website</v>
      </c>
      <c r="J15" s="24" t="str">
        <f>hyperlink("http://www.rajsubra.com/category/testing/", "blog")</f>
        <v>blog</v>
      </c>
      <c r="K15" s="6"/>
    </row>
    <row r="16">
      <c r="A16" s="13" t="str">
        <f>hyperlink(C16, "AI for Business")</f>
        <v>AI for Business</v>
      </c>
      <c r="B16" s="14" t="s">
        <v>11</v>
      </c>
      <c r="C16" s="15" t="str">
        <f>hyperlink("https://github.com/ab6/Codemash2019/blob/master/Downloads/Codemash2019-AI%20for%20business.pdf", "presentation")</f>
        <v>presentation</v>
      </c>
      <c r="D16" s="29"/>
      <c r="E16" s="7"/>
      <c r="F16" s="7"/>
      <c r="G16" s="7"/>
      <c r="H16" s="14"/>
      <c r="I16" s="18"/>
      <c r="J16" s="19"/>
      <c r="K16" s="6"/>
    </row>
    <row r="17">
      <c r="A17" s="20" t="s">
        <v>42</v>
      </c>
      <c r="B17" s="14" t="s">
        <v>11</v>
      </c>
      <c r="C17" s="19"/>
      <c r="D17" s="22" t="s">
        <v>43</v>
      </c>
      <c r="E17" s="17" t="str">
        <f>hyperlink("http://twitter.com/intent/user?screen_name=jennifermarsman", "@jennifermarsman")</f>
        <v>@jennifermarsman</v>
      </c>
      <c r="G17" s="17" t="str">
        <f>hyperlink("https://www.linkedin.com/in/jennifermarsman", "LinkedIn")</f>
        <v>LinkedIn</v>
      </c>
      <c r="H17" s="19"/>
      <c r="I17" s="18"/>
      <c r="J17" s="24" t="str">
        <f>hyperlink("https://blogs.msdn.microsoft.com/jennifer/", "blog")</f>
        <v>blog</v>
      </c>
      <c r="K17" s="6"/>
    </row>
    <row r="18">
      <c r="A18" s="13" t="str">
        <f>hyperlink(C18, "Alternative Device Interfaces and Machine Learning")</f>
        <v>Alternative Device Interfaces and Machine Learning</v>
      </c>
      <c r="B18" s="14" t="s">
        <v>11</v>
      </c>
      <c r="C18" s="15" t="str">
        <f>hyperlink("https://jaredrhodes.com/speaking-engagements/alternative-device-interface-and-machine-learning/", "presentation")</f>
        <v>presentation</v>
      </c>
      <c r="D18" s="22" t="s">
        <v>44</v>
      </c>
      <c r="E18" s="17" t="str">
        <f>hyperlink("http://twitter.com/intent/user?screen_name=QiMata", "@QiMata")</f>
        <v>@QiMata</v>
      </c>
      <c r="G18" s="17" t="str">
        <f>hyperlink("https://linkedin.com/in/qimata", "LinkedIn")</f>
        <v>LinkedIn</v>
      </c>
      <c r="H18" s="14"/>
      <c r="I18" s="25" t="str">
        <f>hyperlink("https://qimata.com/", "Company Website")</f>
        <v>Company Website</v>
      </c>
      <c r="J18" s="25" t="str">
        <f>hyperlink("https://qimata.com/", "blog")</f>
        <v>blog</v>
      </c>
      <c r="K18" s="6"/>
    </row>
    <row r="19">
      <c r="A19" s="20" t="s">
        <v>45</v>
      </c>
      <c r="B19" s="14" t="s">
        <v>11</v>
      </c>
      <c r="C19" s="19"/>
      <c r="D19" s="22" t="s">
        <v>46</v>
      </c>
      <c r="E19" s="17" t="str">
        <f>hyperlink("http://twitter.com/intent/user?screen_name=trembyl", "@trembyl")</f>
        <v>@trembyl</v>
      </c>
      <c r="G19" s="17" t="str">
        <f>hyperlink("https://www.linkedin.com/in/james-balmert-23ba9129/", "LinkedIn")</f>
        <v>LinkedIn</v>
      </c>
      <c r="H19" s="19"/>
      <c r="I19" s="18"/>
      <c r="J19" s="19"/>
      <c r="K19" s="6"/>
    </row>
    <row r="20">
      <c r="A20" s="13" t="str">
        <f>hyperlink(C20, "Android Jetpack - Make Better Apps")</f>
        <v>Android Jetpack - Make Better Apps</v>
      </c>
      <c r="B20" s="14" t="s">
        <v>11</v>
      </c>
      <c r="C20" s="15" t="str">
        <f>hyperlink("https://github.com/MFazio23/Presentations/tree/master/android-jetpack", "presentation")</f>
        <v>presentation</v>
      </c>
      <c r="D20" s="22" t="s">
        <v>47</v>
      </c>
      <c r="E20" s="17" t="str">
        <f>hyperlink("http://twitter.com/intent/user?screen_name=faziodev", "@faziodev")</f>
        <v>@faziodev</v>
      </c>
      <c r="G20" s="17" t="str">
        <f>hyperlink("https://www.linkedin.com/in/mfazio23/", "LinkedIn")</f>
        <v>LinkedIn</v>
      </c>
      <c r="H20" s="14"/>
      <c r="I20" s="23" t="s">
        <v>48</v>
      </c>
      <c r="J20" s="19"/>
      <c r="K20" s="6"/>
    </row>
    <row r="21">
      <c r="A21" s="20" t="s">
        <v>49</v>
      </c>
      <c r="B21" s="14" t="s">
        <v>11</v>
      </c>
      <c r="C21" s="19"/>
      <c r="D21" s="22" t="s">
        <v>50</v>
      </c>
      <c r="E21" s="7"/>
      <c r="F21" s="7"/>
      <c r="G21" s="17" t="str">
        <f>hyperlink("https://www.linkedin.com/in/matt-weimer-74698a12/", "LinkedIn")</f>
        <v>LinkedIn</v>
      </c>
      <c r="H21" s="19"/>
      <c r="I21" s="18"/>
      <c r="J21" s="19"/>
      <c r="K21" s="6"/>
    </row>
    <row r="22">
      <c r="A22" s="13" t="str">
        <f>hyperlink(C22, "APIs on the Scale of Decades")</f>
        <v>APIs on the Scale of Decades</v>
      </c>
      <c r="B22" s="14" t="s">
        <v>11</v>
      </c>
      <c r="C22" s="15" t="str">
        <f>hyperlink("https://speakerdeck.com/garyfleming/apis-on-the-scale-of-decades", "presentation")</f>
        <v>presentation</v>
      </c>
      <c r="D22" s="22" t="s">
        <v>51</v>
      </c>
      <c r="E22" s="17" t="str">
        <f>hyperlink("http://twitter.com/intent/user?screen_name=garyfleming", "@garyfleming")</f>
        <v>@garyfleming</v>
      </c>
      <c r="G22" s="7"/>
      <c r="H22" s="14"/>
      <c r="I22" s="25" t="str">
        <f>HYPERLINK("https://github.com/garyfleming/apis-for-decades", "Source and Add'l notes")</f>
        <v>Source and Add'l notes</v>
      </c>
      <c r="J22" s="19"/>
      <c r="K22" s="6"/>
    </row>
    <row r="23">
      <c r="A23" s="20" t="s">
        <v>52</v>
      </c>
      <c r="B23" s="14" t="s">
        <v>14</v>
      </c>
      <c r="C23" s="19"/>
      <c r="D23" s="22" t="s">
        <v>53</v>
      </c>
      <c r="E23" s="7"/>
      <c r="F23" s="7"/>
      <c r="G23" s="7"/>
      <c r="H23" s="19"/>
      <c r="I23" s="24" t="str">
        <f>hyperlink("http://www.preemptive.com/", "Company Website")</f>
        <v>Company Website</v>
      </c>
      <c r="J23" s="19"/>
      <c r="K23" s="6"/>
    </row>
    <row r="24">
      <c r="A24" s="20" t="s">
        <v>54</v>
      </c>
      <c r="B24" s="14" t="s">
        <v>14</v>
      </c>
      <c r="C24" s="19"/>
      <c r="D24" s="22" t="s">
        <v>55</v>
      </c>
      <c r="E24" s="7"/>
      <c r="F24" s="7"/>
      <c r="G24" s="7"/>
      <c r="H24" s="30"/>
      <c r="I24" s="18"/>
      <c r="J24" s="19"/>
      <c r="K24" s="6"/>
    </row>
    <row r="25">
      <c r="A25" s="20" t="s">
        <v>56</v>
      </c>
      <c r="B25" s="14" t="s">
        <v>11</v>
      </c>
      <c r="C25" s="19"/>
      <c r="D25" s="22" t="s">
        <v>57</v>
      </c>
      <c r="E25" s="31" t="str">
        <f>hyperlink("http://twitter.com/intent/user?screen_name=joel__lord", "@joel__lord")</f>
        <v>@joel__lord</v>
      </c>
      <c r="G25" s="17" t="str">
        <f>hyperlink("https://www.linkedin.com/in/joel-lord-9099b232/", "LinkedIn")</f>
        <v>LinkedIn</v>
      </c>
      <c r="H25" s="19"/>
      <c r="I25" s="25" t="str">
        <f>hyperlink("https://auth0.com/", "Company Website")</f>
        <v>Company Website</v>
      </c>
      <c r="J25" s="24" t="str">
        <f>hyperlink("https://javascripteverything.com/speaking.html", "blog")</f>
        <v>blog</v>
      </c>
      <c r="K25" s="6"/>
    </row>
    <row r="26">
      <c r="A26" s="13" t="str">
        <f>hyperlink(C26, "Augmenting Retro Consoles with New Hardware")</f>
        <v>Augmenting Retro Consoles with New Hardware</v>
      </c>
      <c r="B26" s="14" t="s">
        <v>11</v>
      </c>
      <c r="C26" s="15" t="str">
        <f>hyperlink("https://www.slideshare.net/JeffKatz2/augmenting-retro-consoles-with-new-hardware", "presentation")</f>
        <v>presentation</v>
      </c>
      <c r="D26" s="26" t="s">
        <v>58</v>
      </c>
      <c r="E26" s="31" t="str">
        <f>hyperlink("http://twitter.com/intent/user?screen_name=kraln", "@kraln")</f>
        <v>@kraln</v>
      </c>
      <c r="G26" s="31"/>
      <c r="H26" s="14"/>
      <c r="I26" s="18"/>
      <c r="J26" s="19"/>
      <c r="K26" s="6"/>
    </row>
    <row r="27">
      <c r="A27" s="20" t="s">
        <v>59</v>
      </c>
      <c r="B27" s="14" t="s">
        <v>11</v>
      </c>
      <c r="C27" s="19"/>
      <c r="D27" s="22" t="s">
        <v>60</v>
      </c>
      <c r="E27" s="31" t="str">
        <f>hyperlink("http://twitter.com/intent/user?screen_name=gbworld", "@gbworld")</f>
        <v>@gbworld</v>
      </c>
      <c r="G27" s="17" t="str">
        <f>hyperlink("https://www.linkedin.com/in/gregorybeamer/", "LinkedIn")</f>
        <v>LinkedIn</v>
      </c>
      <c r="H27" s="19"/>
      <c r="I27" s="25" t="str">
        <f>hyperlink("http://www.ust-global.com/", "Company Website")</f>
        <v>Company Website</v>
      </c>
      <c r="J27" s="24" t="str">
        <f>hyperlink("http://gregorybeamer.wordpress.com/", "blog")</f>
        <v>blog</v>
      </c>
      <c r="K27" s="6"/>
    </row>
    <row r="28">
      <c r="A28" s="13" t="str">
        <f>hyperlink(C28, "Autonomous Microservices")</f>
        <v>Autonomous Microservices</v>
      </c>
      <c r="B28" s="14" t="s">
        <v>14</v>
      </c>
      <c r="C28" s="15" t="str">
        <f>hyperlink("https://www.slideshare.net/MatthewGroves7/autonomous-microservices-codemash-january-2019", "presentation")</f>
        <v>presentation</v>
      </c>
      <c r="D28" s="22" t="s">
        <v>61</v>
      </c>
      <c r="E28" s="7"/>
      <c r="F28" s="31" t="str">
        <f>hyperlink("http://twitter.com/intent/user?screen_name=mgroves", "@mgroves")</f>
        <v>@mgroves</v>
      </c>
      <c r="G28" s="7"/>
      <c r="H28" s="19"/>
      <c r="I28" s="24" t="str">
        <f>hyperlink("http://www.couchbase.com/", "Vendor Website")</f>
        <v>Vendor Website</v>
      </c>
      <c r="J28" s="6"/>
      <c r="K28" s="6"/>
    </row>
    <row r="29">
      <c r="A29" s="13" t="str">
        <f>hyperlink(C29, "Avoiding Landmines – A Tech Leader’s Guide for the Critical Decisions")</f>
        <v>Avoiding Landmines – A Tech Leader’s Guide for the Critical Decisions</v>
      </c>
      <c r="B29" s="14" t="s">
        <v>11</v>
      </c>
      <c r="C29" s="15" t="str">
        <f>hyperlink("https://www.slideshare.net/ScottDrake8/avoiding-landmines-a-tech-leaders-guide-to-the-critical-decisions", "presentation")</f>
        <v>presentation</v>
      </c>
      <c r="D29" s="26" t="s">
        <v>62</v>
      </c>
      <c r="E29" s="31" t="str">
        <f>hyperlink("http://twitter.com/intent/user?screen_name=tscottdrake", "@tscottdrake")</f>
        <v>@tscottdrake</v>
      </c>
      <c r="F29" s="31" t="str">
        <f>hyperlink("http://twitter.com/intent/user?screen_name=JaredTheNerd!", "@JaredTheNerd!")</f>
        <v>@JaredTheNerd!</v>
      </c>
      <c r="G29" s="31"/>
      <c r="H29" s="14"/>
      <c r="I29" s="18"/>
      <c r="J29" s="19"/>
      <c r="K29" s="6"/>
    </row>
    <row r="30">
      <c r="A30" s="13" t="str">
        <f>hyperlink(C30, "Be an A11y with React")</f>
        <v>Be an A11y with React</v>
      </c>
      <c r="B30" s="14" t="s">
        <v>11</v>
      </c>
      <c r="C30" s="15" t="s">
        <v>63</v>
      </c>
      <c r="D30" s="26" t="s">
        <v>64</v>
      </c>
      <c r="E30" s="31" t="str">
        <f>hyperlink("http://twitter.com/intent/user?screen_name=NathanLoding", "@NathanLoding")</f>
        <v>@NathanLoding</v>
      </c>
      <c r="G30" s="31"/>
      <c r="H30" s="14"/>
      <c r="I30" s="18"/>
      <c r="J30" s="19"/>
      <c r="K30" s="6"/>
    </row>
    <row r="31">
      <c r="A31" s="13" t="str">
        <f>hyperlink(C31, "Becoming an Effective Mentor")</f>
        <v>Becoming an Effective Mentor</v>
      </c>
      <c r="B31" s="14" t="s">
        <v>11</v>
      </c>
      <c r="C31" s="15" t="str">
        <f>hyperlink("https://www.slideshare.net/OliviaLiddell/olivia-liddell-codemash-2019-becoming-an-effective-mentor", "presentation")</f>
        <v>presentation</v>
      </c>
      <c r="D31" s="26" t="s">
        <v>65</v>
      </c>
      <c r="E31" s="31" t="str">
        <f>hyperlink("http://twitter.com/intent/user?screen_name=oliravi", "@oliravi")</f>
        <v>@oliravi</v>
      </c>
      <c r="G31" s="31"/>
      <c r="H31" s="14"/>
      <c r="I31" s="23" t="s">
        <v>66</v>
      </c>
      <c r="J31" s="32" t="s">
        <v>67</v>
      </c>
      <c r="K31" s="6"/>
    </row>
    <row r="32">
      <c r="A32" s="20" t="s">
        <v>68</v>
      </c>
      <c r="B32" s="14" t="s">
        <v>11</v>
      </c>
      <c r="C32" s="19"/>
      <c r="D32" s="22" t="s">
        <v>69</v>
      </c>
      <c r="E32" s="31" t="str">
        <f>hyperlink("http://twitter.com/intent/user?screen_name=jdages", "@jdages")</f>
        <v>@jdages</v>
      </c>
      <c r="G32" s="17" t="str">
        <f>hyperlink("https://www.linkedin.com/in/john-dages-58b6687/", "LinkedIn")</f>
        <v>LinkedIn</v>
      </c>
      <c r="H32" s="19"/>
      <c r="I32" s="18"/>
      <c r="J32" s="19"/>
      <c r="K32" s="6"/>
    </row>
    <row r="33">
      <c r="A33" s="33" t="str">
        <f>hyperlink(C33, "Best Practices for Robust API development in ASP.NET Core")</f>
        <v>Best Practices for Robust API development in ASP.NET Core</v>
      </c>
      <c r="B33" s="14" t="s">
        <v>11</v>
      </c>
      <c r="C33" s="15" t="s">
        <v>70</v>
      </c>
      <c r="D33" s="22" t="s">
        <v>71</v>
      </c>
      <c r="E33" s="31" t="str">
        <f t="shared" ref="E33:E34" si="6">hyperlink("http://twitter.com/intent/user?screen_name=kvgros", "@kvgros")</f>
        <v>@kvgros</v>
      </c>
      <c r="G33" s="17" t="str">
        <f t="shared" ref="G33:G34" si="7">hyperlink("https://www.linkedin.com/in/kvgros/", "LinkedIn")</f>
        <v>LinkedIn</v>
      </c>
      <c r="H33" s="14"/>
      <c r="I33" s="34" t="str">
        <f t="shared" ref="I33:I34" si="8">hyperlink("http://www.architectnow.net/", "Company Website")</f>
        <v>Company Website</v>
      </c>
      <c r="J33" s="24" t="str">
        <f t="shared" ref="J33:J34" si="9">hyperlink("http://www.architectnow.net/blog", "blog")</f>
        <v>blog</v>
      </c>
      <c r="K33" s="6"/>
    </row>
    <row r="34">
      <c r="A34" s="33" t="str">
        <f>hyperlink(C34, "Best Practices for Robust API development in ASP.NET Core (Part 2)")</f>
        <v>Best Practices for Robust API development in ASP.NET Core (Part 2)</v>
      </c>
      <c r="B34" s="14" t="s">
        <v>11</v>
      </c>
      <c r="C34" s="15" t="s">
        <v>70</v>
      </c>
      <c r="D34" s="35" t="s">
        <v>71</v>
      </c>
      <c r="E34" s="31" t="str">
        <f t="shared" si="6"/>
        <v>@kvgros</v>
      </c>
      <c r="G34" s="17" t="str">
        <f t="shared" si="7"/>
        <v>LinkedIn</v>
      </c>
      <c r="H34" s="14"/>
      <c r="I34" s="34" t="str">
        <f t="shared" si="8"/>
        <v>Company Website</v>
      </c>
      <c r="J34" s="24" t="str">
        <f t="shared" si="9"/>
        <v>blog</v>
      </c>
      <c r="K34" s="6"/>
    </row>
    <row r="35">
      <c r="A35" s="13" t="str">
        <f>hyperlink(C35, "Better Names for Better Code")</f>
        <v>Better Names for Better Code</v>
      </c>
      <c r="B35" s="14" t="s">
        <v>11</v>
      </c>
      <c r="C35" s="14" t="s">
        <v>72</v>
      </c>
      <c r="D35" s="22" t="s">
        <v>73</v>
      </c>
      <c r="E35" s="31" t="str">
        <f>hyperlink("http://twitter.com/intent/user?screen_name=mrdowden", "@mrdowden")</f>
        <v>@mrdowden</v>
      </c>
      <c r="G35" s="17" t="str">
        <f>hyperlink("https://www.linkedin.com/in/mrdowden", "LinkedIn")</f>
        <v>LinkedIn</v>
      </c>
      <c r="H35" s="14"/>
      <c r="I35" s="25" t="str">
        <f>hyperlink("https://andromeda16.com/", "Company Website")</f>
        <v>Company Website</v>
      </c>
      <c r="J35" s="24" t="str">
        <f>hyperlink("https://dzone.com/users/981479/mdowden.html", "blog")</f>
        <v>blog</v>
      </c>
      <c r="K35" s="6"/>
    </row>
    <row r="36">
      <c r="A36" s="20" t="s">
        <v>74</v>
      </c>
      <c r="B36" s="14" t="s">
        <v>14</v>
      </c>
      <c r="C36" s="19"/>
      <c r="D36" s="22" t="s">
        <v>75</v>
      </c>
      <c r="E36" s="36" t="str">
        <f>hyperlink("http://twitter.com/intent/user?screen_name=guyroyse", "@guyroyse")</f>
        <v>@guyroyse</v>
      </c>
      <c r="G36" s="7"/>
      <c r="H36" s="19"/>
      <c r="I36" s="24" t="str">
        <f>hyperlink("http://datarobot.com/", "Company Website")</f>
        <v>Company Website</v>
      </c>
      <c r="J36" s="19"/>
      <c r="K36" s="6"/>
    </row>
    <row r="37">
      <c r="A37" s="20" t="s">
        <v>76</v>
      </c>
      <c r="B37" s="14" t="s">
        <v>14</v>
      </c>
      <c r="C37" s="19"/>
      <c r="D37" s="22" t="s">
        <v>77</v>
      </c>
      <c r="E37" s="36" t="str">
        <f>hyperlink("http://twitter.com/intent/user?screen_name=hernandezrobert", "@hernandezrobert")</f>
        <v>@hernandezrobert</v>
      </c>
      <c r="G37" s="7"/>
      <c r="H37" s="19"/>
      <c r="I37" s="18"/>
      <c r="J37" s="19"/>
      <c r="K37" s="6"/>
    </row>
    <row r="38">
      <c r="A38" s="13" t="str">
        <f>hyperlink(C38, "Build Your First Design System")</f>
        <v>Build Your First Design System</v>
      </c>
      <c r="B38" s="14" t="s">
        <v>11</v>
      </c>
      <c r="C38" s="15" t="s">
        <v>78</v>
      </c>
      <c r="D38" s="35" t="s">
        <v>79</v>
      </c>
      <c r="E38" s="17" t="str">
        <f>hyperlink("http://twitter.com/intent/user?screen_name=nrambeck","@nrambeck")</f>
        <v>@nrambeck</v>
      </c>
      <c r="F38" s="17" t="str">
        <f>hyperlink("http://twitter.com/intent/user?screen_name=_kaseybon", "@_kaseybon")</f>
        <v>@_kaseybon</v>
      </c>
      <c r="G38" s="26"/>
      <c r="H38" s="14"/>
      <c r="I38" s="18"/>
      <c r="J38" s="19"/>
      <c r="K38" s="6"/>
    </row>
    <row r="39">
      <c r="A39" s="20" t="s">
        <v>80</v>
      </c>
      <c r="B39" s="14" t="s">
        <v>11</v>
      </c>
      <c r="C39" s="19"/>
      <c r="D39" s="35" t="s">
        <v>81</v>
      </c>
      <c r="E39" s="17" t="str">
        <f t="shared" ref="E39:E40" si="10">hyperlink("http://twitter.com/intent/user?screen_name=hboelman","@hboelman")</f>
        <v>@hboelman</v>
      </c>
      <c r="G39" s="17" t="str">
        <f t="shared" ref="G39:G40" si="11">hyperlink("https://www.linkedin.com/in/henkboelman/", "LinkedIn")</f>
        <v>LinkedIn</v>
      </c>
      <c r="H39" s="19"/>
      <c r="I39" s="25" t="str">
        <f t="shared" ref="I39:I40" si="12">hyperlink("https://www.heroes.nl/", "Company Website")</f>
        <v>Company Website</v>
      </c>
      <c r="J39" s="24" t="str">
        <f t="shared" ref="J39:J40" si="13">hyperlink("https://www.henkboelman.com/", "blog")</f>
        <v>blog</v>
      </c>
      <c r="K39" s="6"/>
    </row>
    <row r="40">
      <c r="A40" s="20" t="s">
        <v>82</v>
      </c>
      <c r="B40" s="14" t="s">
        <v>11</v>
      </c>
      <c r="C40" s="19"/>
      <c r="D40" s="35" t="s">
        <v>81</v>
      </c>
      <c r="E40" s="17" t="str">
        <f t="shared" si="10"/>
        <v>@hboelman</v>
      </c>
      <c r="G40" s="17" t="str">
        <f t="shared" si="11"/>
        <v>LinkedIn</v>
      </c>
      <c r="H40" s="19"/>
      <c r="I40" s="25" t="str">
        <f t="shared" si="12"/>
        <v>Company Website</v>
      </c>
      <c r="J40" s="24" t="str">
        <f t="shared" si="13"/>
        <v>blog</v>
      </c>
      <c r="K40" s="6"/>
    </row>
    <row r="41">
      <c r="A41" s="20" t="s">
        <v>83</v>
      </c>
      <c r="B41" s="14" t="s">
        <v>11</v>
      </c>
      <c r="C41" s="19"/>
      <c r="D41" s="22" t="s">
        <v>84</v>
      </c>
      <c r="E41" s="17" t="str">
        <f>hyperlink("http://twitter.com/intent/user?screen_name=chills42","@chills42")</f>
        <v>@chills42</v>
      </c>
      <c r="G41" s="17" t="str">
        <f>hyperlink("https://www.linkedin.com/in/craighills/", "LinkedIn")</f>
        <v>LinkedIn</v>
      </c>
      <c r="H41" s="19"/>
      <c r="I41" s="37" t="str">
        <f>HYPERLINK("https://www.pondurance.com","Company Website")</f>
        <v>Company Website</v>
      </c>
      <c r="J41" s="19"/>
      <c r="K41" s="6"/>
    </row>
    <row r="42">
      <c r="A42" s="20" t="s">
        <v>85</v>
      </c>
      <c r="B42" s="14" t="s">
        <v>11</v>
      </c>
      <c r="C42" s="19"/>
      <c r="D42" s="22" t="s">
        <v>86</v>
      </c>
      <c r="E42" s="17" t="str">
        <f>hyperlink("http://twitter.com/intent/user?screen_name=keithelder","@keithelder")</f>
        <v>@keithelder</v>
      </c>
      <c r="G42" s="7"/>
      <c r="H42" s="19"/>
      <c r="I42" s="38" t="str">
        <f>hyperlink("http://quickenloans.com/", "Company Website")</f>
        <v>Company Website</v>
      </c>
      <c r="J42" s="39" t="str">
        <f>hyperlink("http://keithelder.net/", "blog")</f>
        <v>blog</v>
      </c>
      <c r="K42" s="6"/>
    </row>
    <row r="43">
      <c r="A43" s="13" t="str">
        <f>hyperlink(C43, "Building a Production-Ready React Native App")</f>
        <v>Building a Production-Ready React Native App</v>
      </c>
      <c r="B43" s="14" t="s">
        <v>11</v>
      </c>
      <c r="C43" s="15" t="str">
        <f>hyperlink("https://speakerdeck.com/tagraves/building-a-production-ready-react-native-app", "presentation")</f>
        <v>presentation</v>
      </c>
      <c r="D43" s="35" t="s">
        <v>87</v>
      </c>
      <c r="E43" s="17" t="str">
        <f>hyperlink("http://twitter.com/intent/user?screen_name=tagraves","@tagraves")</f>
        <v>@tagraves</v>
      </c>
      <c r="G43" s="17" t="str">
        <f>hyperlink("https://www.linkedin.com/in/tommyagraves/", "LinkedIn")</f>
        <v>LinkedIn</v>
      </c>
      <c r="H43" s="14"/>
      <c r="I43" s="23" t="s">
        <v>88</v>
      </c>
      <c r="J43" s="24" t="str">
        <f>hyperlink("https://tagraves.com/", "blog")</f>
        <v>blog</v>
      </c>
      <c r="K43" s="6"/>
    </row>
    <row r="44">
      <c r="A44" s="13" t="str">
        <f>hyperlink(C44, "Building An AppSec Program From The Ground Up: An Honest Retrospective")</f>
        <v>Building An AppSec Program From The Ground Up: An Honest Retrospective</v>
      </c>
      <c r="B44" s="14" t="s">
        <v>11</v>
      </c>
      <c r="C44" s="15" t="str">
        <f>hyperlink("https://www.dropbox.com/s/ht8k3x5uav5ndyv/Melton_2019_codemash.pdf?dl=0", "presentation")</f>
        <v>presentation</v>
      </c>
      <c r="D44" s="22" t="s">
        <v>89</v>
      </c>
      <c r="E44" s="17" t="str">
        <f>hyperlink("http://twitter.com/intent/user?screen_name=_jtmelton","@_jtmelton")</f>
        <v>@_jtmelton</v>
      </c>
      <c r="G44" s="17" t="str">
        <f>hyperlink("https://www.linkedin.com/in/johnmelton/", "LinkedIn")</f>
        <v>LinkedIn</v>
      </c>
      <c r="H44" s="19"/>
      <c r="I44" s="18"/>
      <c r="J44" s="24" t="str">
        <f>hyperlink("https://www.jtmelton.com/", "blog")</f>
        <v>blog</v>
      </c>
      <c r="K44" s="6"/>
    </row>
    <row r="45">
      <c r="A45" s="20" t="s">
        <v>90</v>
      </c>
      <c r="B45" s="14" t="s">
        <v>14</v>
      </c>
      <c r="C45" s="19"/>
      <c r="D45" s="22" t="s">
        <v>91</v>
      </c>
      <c r="E45" s="17" t="str">
        <f>hyperlink("http://twitter.com/intent/user?screen_name=keithelder","@keithelder")</f>
        <v>@keithelder</v>
      </c>
      <c r="G45" s="7"/>
      <c r="H45" s="19"/>
      <c r="I45" s="25" t="str">
        <f>hyperlink("https://quickenloanscareers.com/", "Company Website")</f>
        <v>Company Website</v>
      </c>
      <c r="J45" s="19"/>
      <c r="K45" s="6"/>
    </row>
    <row r="46">
      <c r="A46" s="20" t="s">
        <v>92</v>
      </c>
      <c r="B46" s="14" t="s">
        <v>11</v>
      </c>
      <c r="C46" s="15" t="str">
        <f>hyperlink("https://github.com/cjudd/binary-clock-workshop", "Presentation &amp; Code: Github")</f>
        <v>Presentation &amp; Code: Github</v>
      </c>
      <c r="D46" s="22" t="s">
        <v>93</v>
      </c>
      <c r="E46" s="17" t="str">
        <f>hyperlink("http://twitter.com/intent/user?screen_name=hernandezrobert", "@hernandezrobert")</f>
        <v>@hernandezrobert</v>
      </c>
      <c r="G46" s="7"/>
      <c r="H46" s="14"/>
      <c r="I46" s="18"/>
      <c r="J46" s="19"/>
      <c r="K46" s="6"/>
    </row>
    <row r="47">
      <c r="A47" s="20" t="s">
        <v>94</v>
      </c>
      <c r="B47" s="14" t="s">
        <v>11</v>
      </c>
      <c r="C47" s="19"/>
      <c r="D47" s="22" t="s">
        <v>95</v>
      </c>
      <c r="E47" s="7"/>
      <c r="F47" s="7"/>
      <c r="G47" s="17" t="str">
        <f>hyperlink("https://www.linkedin.com/in/jeremiah-bryant-670a6411", "LinkedIn")</f>
        <v>LinkedIn</v>
      </c>
      <c r="H47" s="19"/>
      <c r="I47" s="18"/>
      <c r="J47" s="19"/>
      <c r="K47" s="6"/>
    </row>
    <row r="48">
      <c r="A48" s="20" t="s">
        <v>96</v>
      </c>
      <c r="B48" s="14" t="s">
        <v>11</v>
      </c>
      <c r="C48" s="19"/>
      <c r="D48" s="22" t="s">
        <v>97</v>
      </c>
      <c r="E48" s="17" t="str">
        <f>hyperlink("http://twitter.com/intent/user?screen_name=JessicaMauerhan", "@JessicaMauerhan")</f>
        <v>@JessicaMauerhan</v>
      </c>
      <c r="G48" s="7"/>
      <c r="H48" s="19"/>
      <c r="I48" s="18"/>
      <c r="J48" s="19"/>
      <c r="K48" s="6"/>
    </row>
    <row r="49">
      <c r="A49" s="20" t="s">
        <v>98</v>
      </c>
      <c r="B49" s="14" t="s">
        <v>11</v>
      </c>
      <c r="C49" s="19"/>
      <c r="D49" s="22" t="s">
        <v>99</v>
      </c>
      <c r="E49" s="17" t="str">
        <f>hyperlink("http://twitter.com/intent/user?screen_name=robertlair", "@robertlair")</f>
        <v>@robertlair</v>
      </c>
      <c r="G49" s="17" t="str">
        <f>hyperlink("https://www.linkedin.com/in/robertlair/", "LinkedIn")</f>
        <v>LinkedIn</v>
      </c>
      <c r="H49" s="19"/>
      <c r="I49" s="18"/>
      <c r="J49" s="24" t="str">
        <f>hyperlink("http://www.robertlair.com/", "blog")</f>
        <v>blog</v>
      </c>
      <c r="K49" s="6"/>
    </row>
    <row r="50">
      <c r="A50" s="20" t="s">
        <v>100</v>
      </c>
      <c r="B50" s="14" t="s">
        <v>11</v>
      </c>
      <c r="C50" s="19"/>
      <c r="D50" s="22" t="s">
        <v>101</v>
      </c>
      <c r="E50" s="17" t="str">
        <f>hyperlink("http://twitter.com/intent/user?screen_name=gwaldo", "@gwaldo")</f>
        <v>@gwaldo</v>
      </c>
      <c r="G50" s="17" t="str">
        <f>hyperlink("https://www.linkedin.com/in/h-waldo-g/", "LinkedIn")</f>
        <v>LinkedIn</v>
      </c>
      <c r="H50" s="19"/>
      <c r="I50" s="25" t="str">
        <f>hyperlink("https://datadoghq.com/", "Company Website")</f>
        <v>Company Website</v>
      </c>
      <c r="J50" s="19"/>
      <c r="K50" s="6"/>
    </row>
    <row r="51">
      <c r="A51" s="20" t="s">
        <v>102</v>
      </c>
      <c r="B51" s="14" t="s">
        <v>11</v>
      </c>
      <c r="C51" s="19"/>
      <c r="D51" s="22" t="s">
        <v>103</v>
      </c>
      <c r="E51" s="7"/>
      <c r="G51" s="17" t="str">
        <f>hyperlink("https://www.linkedin.com/in/brmulcahy/", "LinkedIn")</f>
        <v>LinkedIn</v>
      </c>
      <c r="H51" s="30"/>
      <c r="I51" s="18"/>
      <c r="J51" s="24" t="str">
        <f>hyperlink("http://ironstrife.azurewebsites.net/", "blog")</f>
        <v>blog</v>
      </c>
      <c r="K51" s="6"/>
    </row>
    <row r="52">
      <c r="A52" s="20" t="s">
        <v>104</v>
      </c>
      <c r="B52" s="14" t="s">
        <v>11</v>
      </c>
      <c r="C52" s="15" t="str">
        <f>hyperlink("https://www.stevenhicks.me/workshops/building-your-first-react-app/", "presentation")</f>
        <v>presentation</v>
      </c>
      <c r="D52" s="35" t="s">
        <v>105</v>
      </c>
      <c r="E52" s="17" t="str">
        <f>hyperlink("http://twitter.com/intent/user?screen_name=pepopowitz", "@pepopowitz")</f>
        <v>@pepopowitz</v>
      </c>
      <c r="G52" s="17" t="str">
        <f>hyperlink("https://linkedin.com/in/stevenjhicks", "LinkedIn")</f>
        <v>LinkedIn</v>
      </c>
      <c r="H52" s="14"/>
      <c r="I52" s="18"/>
      <c r="J52" s="24" t="str">
        <f>hyperlink("https://stevenhicks.me/", "blog")</f>
        <v>blog</v>
      </c>
      <c r="K52" s="6"/>
    </row>
    <row r="53">
      <c r="A53" s="20" t="s">
        <v>106</v>
      </c>
      <c r="B53" s="14" t="s">
        <v>11</v>
      </c>
      <c r="C53" s="19"/>
      <c r="D53" s="22" t="s">
        <v>107</v>
      </c>
      <c r="E53" s="17" t="str">
        <f>hyperlink("http://twitter.com/intent/user?screen_name=jeffblankenburg", "@jeffblankenburg")</f>
        <v>@jeffblankenburg</v>
      </c>
      <c r="G53" s="17" t="str">
        <f>hyperlink("http://linkedin.com/in/jeffblankenburg", "LinkedIn")</f>
        <v>LinkedIn</v>
      </c>
      <c r="H53" s="19"/>
      <c r="I53" s="18"/>
      <c r="J53" s="24" t="str">
        <f>hyperlink("http://blankenblog.com/", "blog")</f>
        <v>blog</v>
      </c>
      <c r="K53" s="6"/>
    </row>
    <row r="54">
      <c r="A54" s="20" t="s">
        <v>108</v>
      </c>
      <c r="B54" s="14" t="s">
        <v>11</v>
      </c>
      <c r="C54" s="1" t="str">
        <f>hyperlink("https://sarahwithee.com/speaking/building-your-team-to-last/", "presentation")</f>
        <v>presentation</v>
      </c>
      <c r="D54" s="22" t="s">
        <v>32</v>
      </c>
      <c r="E54" s="17" t="str">
        <f>hyperlink("http://twitter.com/intent/user?screen_name=geekygirlsarah", "@geekygirlsarah")</f>
        <v>@geekygirlsarah</v>
      </c>
      <c r="G54" s="17" t="str">
        <f>hyperlink("https://linkedin.com/in/sarahwithee", "LinkedIn")</f>
        <v>LinkedIn</v>
      </c>
      <c r="H54" s="14"/>
      <c r="I54" s="18"/>
      <c r="J54" s="24" t="str">
        <f>hyperlink("https://geekygirlsarah.com/", "blog")</f>
        <v>blog</v>
      </c>
      <c r="K54" s="6"/>
    </row>
    <row r="55">
      <c r="A55" s="20" t="s">
        <v>109</v>
      </c>
      <c r="B55" s="14" t="s">
        <v>11</v>
      </c>
      <c r="C55" s="19"/>
      <c r="D55" s="22" t="s">
        <v>110</v>
      </c>
      <c r="E55" s="17" t="str">
        <f>hyperlink("http://twitter.com/intent/user?screen_name=steiza", "@steiza")</f>
        <v>@steiza</v>
      </c>
      <c r="G55" s="7"/>
      <c r="H55" s="19"/>
      <c r="I55" s="18"/>
      <c r="J55" s="19"/>
      <c r="K55" s="6"/>
    </row>
    <row r="56">
      <c r="A56" s="20" t="s">
        <v>111</v>
      </c>
      <c r="B56" s="14" t="s">
        <v>11</v>
      </c>
      <c r="C56" s="15" t="str">
        <f>hyperlink("https://www.slideshare.net/cassandrafaris/charting-a-course-to-your-dream-job", "presentation")</f>
        <v>presentation</v>
      </c>
      <c r="D56" s="26" t="s">
        <v>112</v>
      </c>
      <c r="E56" s="27" t="str">
        <f>hyperlink("http://twitter.com/intent/user?screen_name=cassandrafaris", "@cassandrafaris")</f>
        <v>@cassandrafaris</v>
      </c>
      <c r="F56" s="27" t="str">
        <f>hyperlink("http://twitter.com/intent/user?screen_name=KimberlyAPreece", "@KimberlyAPreece")</f>
        <v>@KimberlyAPreece</v>
      </c>
      <c r="G56" s="40"/>
      <c r="H56" s="14"/>
      <c r="I56" s="18"/>
      <c r="J56" s="19"/>
      <c r="K56" s="6"/>
    </row>
    <row r="57">
      <c r="A57" s="20" t="s">
        <v>113</v>
      </c>
      <c r="B57" s="14" t="s">
        <v>11</v>
      </c>
      <c r="C57" s="19"/>
      <c r="D57" s="22" t="s">
        <v>114</v>
      </c>
      <c r="E57" s="17" t="str">
        <f>hyperlink("http://twitter.com/intent/user?screen_name=kacenjar", "@kacenjar")</f>
        <v>@kacenjar</v>
      </c>
      <c r="G57" s="7"/>
      <c r="H57" s="19"/>
      <c r="I57" s="18"/>
      <c r="J57" s="19"/>
      <c r="K57" s="6"/>
    </row>
    <row r="58">
      <c r="A58" s="20" t="s">
        <v>115</v>
      </c>
      <c r="B58" s="14" t="s">
        <v>11</v>
      </c>
      <c r="C58" s="15" t="str">
        <f>hyperlink("https://www.slideshare.net/mobile/RickClymer/climbing-to-top-of-the-mobile-testing-pyramid-codemash", "presentation")</f>
        <v>presentation</v>
      </c>
      <c r="D58" s="22" t="s">
        <v>116</v>
      </c>
      <c r="E58" s="17" t="str">
        <f>hyperlink("http://twitter.com/intent/user?screen_name=clymerrm", "@clymerrm")</f>
        <v>@clymerrm</v>
      </c>
      <c r="G58" s="17" t="str">
        <f>hyperlink("https://www.linkedin.com/in/clymerrm/", "LinkedIn")</f>
        <v>LinkedIn</v>
      </c>
      <c r="H58" s="14"/>
      <c r="I58" s="18"/>
      <c r="J58" s="19"/>
      <c r="K58" s="6"/>
    </row>
    <row r="59">
      <c r="A59" s="20" t="s">
        <v>117</v>
      </c>
      <c r="B59" s="14" t="s">
        <v>11</v>
      </c>
      <c r="C59" s="19"/>
      <c r="D59" s="22" t="s">
        <v>118</v>
      </c>
      <c r="E59" s="17" t="str">
        <f>hyperlink("http://twitter.com/intent/user?screen_name=doug_mair", "@doug_mair")</f>
        <v>@doug_mair</v>
      </c>
      <c r="G59" s="17" t="str">
        <f>hyperlink("https://www.linkedin.com/in/dougmair/", "LinkedIn")</f>
        <v>LinkedIn</v>
      </c>
      <c r="H59" s="19"/>
      <c r="I59" s="25" t="str">
        <f>hyperlink("http://www.improving.com/", "Company Website")</f>
        <v>Company Website</v>
      </c>
      <c r="J59" s="24" t="str">
        <f>hyperlink("https://dougmair.blogspot.com/", "blog")</f>
        <v>blog</v>
      </c>
      <c r="K59" s="6"/>
    </row>
    <row r="60">
      <c r="A60" s="20" t="s">
        <v>119</v>
      </c>
      <c r="B60" s="14" t="s">
        <v>11</v>
      </c>
      <c r="C60" s="15" t="s">
        <v>120</v>
      </c>
      <c r="D60" s="26" t="s">
        <v>121</v>
      </c>
      <c r="E60" s="17" t="str">
        <f>hyperlink("http://twitter.com/intent/user?screen_name=amlyhamm", "@amlyhamm")</f>
        <v>@amlyhamm</v>
      </c>
      <c r="G60" s="31" t="str">
        <f>hyperlink("https://www.linkedin.com/in/amlyhamm/", "LinkedIn")</f>
        <v>LinkedIn</v>
      </c>
      <c r="H60" s="14"/>
      <c r="I60" s="18"/>
      <c r="J60" s="19"/>
      <c r="K60" s="6"/>
    </row>
    <row r="61">
      <c r="A61" s="20" t="s">
        <v>122</v>
      </c>
      <c r="B61" s="14" t="s">
        <v>11</v>
      </c>
      <c r="C61" s="19"/>
      <c r="D61" s="22" t="s">
        <v>123</v>
      </c>
      <c r="E61" s="17" t="str">
        <f>hyperlink("http://twitter.com/intent/user?screen_name=sethvargo", "@sethvargo")</f>
        <v>@sethvargo</v>
      </c>
      <c r="G61" s="17" t="str">
        <f>hyperlink("https://linkedin.com/in/sethvargo", "LinkedIn")</f>
        <v>LinkedIn</v>
      </c>
      <c r="H61" s="19"/>
      <c r="I61" s="25" t="str">
        <f>hyperlink("https://cloud.google.com/", "Company Website")</f>
        <v>Company Website</v>
      </c>
      <c r="J61" s="24" t="str">
        <f>hyperlink("https://www.sethvargo.com/", "blog")</f>
        <v>blog</v>
      </c>
      <c r="K61" s="6"/>
    </row>
    <row r="62">
      <c r="A62" s="20" t="s">
        <v>124</v>
      </c>
      <c r="B62" s="14" t="s">
        <v>11</v>
      </c>
      <c r="C62" s="19"/>
      <c r="D62" s="22" t="s">
        <v>125</v>
      </c>
      <c r="E62" s="17" t="str">
        <f>hyperlink("http://twitter.com/intent/user?screen_name=BillyKorando", "@BillyKorando")</f>
        <v>@BillyKorando</v>
      </c>
      <c r="G62" s="17" t="str">
        <f>hyperlink("https://www.linkedin.com/in/billy-korando-129b8197/", "LinkedIn")</f>
        <v>LinkedIn</v>
      </c>
      <c r="H62" s="19"/>
      <c r="I62" s="25" t="str">
        <f>HYPERLINK("https://keyholesoftware.com/", "Company Website")</f>
        <v>Company Website</v>
      </c>
      <c r="J62" s="24" t="str">
        <f>HYPERLINK("https://keyholesoftware.com/author/bkorando/", "blog")</f>
        <v>blog</v>
      </c>
      <c r="K62" s="6"/>
    </row>
    <row r="63">
      <c r="A63" s="20" t="s">
        <v>126</v>
      </c>
      <c r="B63" s="14" t="s">
        <v>11</v>
      </c>
      <c r="C63" s="15" t="str">
        <f>hyperlink("https://www.slideshare.net/ElizabethIzziBikun/comments-are-useless", "Presentation")</f>
        <v>Presentation</v>
      </c>
      <c r="D63" s="22" t="s">
        <v>127</v>
      </c>
      <c r="E63" s="31" t="str">
        <f>hyperlink("http://twitter.com/intent/user?screen_name=izzib76", "@izzib76")</f>
        <v>@izzib76</v>
      </c>
      <c r="G63" s="17" t="str">
        <f>hyperlink("https://www.linkedin.com/in/elizabethbikun/", "LinkedIn")</f>
        <v>LinkedIn</v>
      </c>
      <c r="H63" s="14"/>
      <c r="I63" s="18"/>
      <c r="J63" s="19"/>
      <c r="K63" s="6"/>
    </row>
    <row r="64">
      <c r="A64" s="20" t="s">
        <v>128</v>
      </c>
      <c r="B64" s="14" t="s">
        <v>11</v>
      </c>
      <c r="C64" s="19"/>
      <c r="D64" s="22" t="s">
        <v>129</v>
      </c>
      <c r="E64" s="31" t="str">
        <f>hyperlink("http://twitter.com/intent/user?screen_name=daniel_davis", "@daniel_davis")</f>
        <v>@daniel_davis</v>
      </c>
      <c r="G64" s="17" t="str">
        <f>hyperlink("https://www.linkedin.com/in/davisdaniel/", "LinkedIn")</f>
        <v>LinkedIn</v>
      </c>
      <c r="H64" s="19"/>
      <c r="I64" s="18"/>
      <c r="J64" s="24" t="str">
        <f>hyperlink("http://d2ramblings.blogspot.com/", "blog")</f>
        <v>blog</v>
      </c>
      <c r="K64" s="6"/>
    </row>
    <row r="65">
      <c r="A65" s="20" t="s">
        <v>130</v>
      </c>
      <c r="B65" s="14" t="s">
        <v>11</v>
      </c>
      <c r="C65" s="19"/>
      <c r="D65" s="22" t="s">
        <v>131</v>
      </c>
      <c r="E65" s="31" t="str">
        <f>hyperlink("http://twitter.com/intent/user?screen_name=rahendrickson", "@rahendrickson")</f>
        <v>@rahendrickson</v>
      </c>
      <c r="G65" s="17" t="str">
        <f>hyperlink("https://www.linkedin.com/in/ryanandrewhendrickson", "LinkedIn")</f>
        <v>LinkedIn</v>
      </c>
      <c r="H65" s="19"/>
      <c r="I65" s="18"/>
      <c r="J65" s="19"/>
      <c r="K65" s="6"/>
    </row>
    <row r="66">
      <c r="A66" s="20" t="s">
        <v>132</v>
      </c>
      <c r="B66" s="14" t="s">
        <v>11</v>
      </c>
      <c r="C66" s="19"/>
      <c r="D66" s="22" t="s">
        <v>133</v>
      </c>
      <c r="E66" s="31" t="str">
        <f>hyperlink("http://twitter.com/intent/user?screen_name=gmjordan", "@gmjordan")</f>
        <v>@gmjordan</v>
      </c>
      <c r="G66" s="17" t="str">
        <f>hyperlink("https://www.linkedin.com/in/gmjordan", "LinkedIn")</f>
        <v>LinkedIn</v>
      </c>
      <c r="H66" s="19"/>
      <c r="I66" s="25" t="str">
        <f>hyperlink("https://www.graphstory.com/", "Company Website")</f>
        <v>Company Website</v>
      </c>
      <c r="J66" s="19"/>
      <c r="K66" s="6"/>
    </row>
    <row r="67">
      <c r="A67" s="20" t="s">
        <v>134</v>
      </c>
      <c r="B67" s="14" t="s">
        <v>11</v>
      </c>
      <c r="C67" s="19"/>
      <c r="D67" s="22" t="s">
        <v>135</v>
      </c>
      <c r="E67" s="31" t="str">
        <f>hyperlink("http://twitter.com/intent/user?screen_name=chzy", "@chzy")</f>
        <v>@chzy</v>
      </c>
      <c r="G67" s="7"/>
      <c r="H67" s="19"/>
      <c r="I67" s="18"/>
      <c r="J67" s="19"/>
      <c r="K67" s="6"/>
    </row>
    <row r="68">
      <c r="A68" s="20" t="s">
        <v>136</v>
      </c>
      <c r="B68" s="14" t="s">
        <v>11</v>
      </c>
      <c r="C68" s="19"/>
      <c r="D68" s="22" t="s">
        <v>137</v>
      </c>
      <c r="E68" s="31" t="str">
        <f>hyperlink("http://twitter.com/intent/user?screen_name=Here_sJonny", "@Here_sJonny")</f>
        <v>@Here_sJonny</v>
      </c>
      <c r="G68" s="17" t="str">
        <f>hyperlink("https://www.linkedin.com/in/jonathanpinlac/", "LinkedIn")</f>
        <v>LinkedIn</v>
      </c>
      <c r="H68" s="19"/>
      <c r="I68" s="18"/>
      <c r="J68" s="19"/>
      <c r="K68" s="6"/>
    </row>
    <row r="69">
      <c r="A69" s="20" t="s">
        <v>138</v>
      </c>
      <c r="B69" s="14" t="s">
        <v>11</v>
      </c>
      <c r="C69" s="15" t="s">
        <v>139</v>
      </c>
      <c r="D69" s="22" t="s">
        <v>140</v>
      </c>
      <c r="E69" s="17" t="str">
        <f>hyperlink("http://twitter.com/intent/user?screen_name=jayharris", "@jayharris")</f>
        <v>@jayharris</v>
      </c>
      <c r="G69" s="17" t="str">
        <f>hyperlink("https://www.linkedin.com/in/jasonharris/", "LinkedIn")</f>
        <v>LinkedIn</v>
      </c>
      <c r="H69" s="19"/>
      <c r="I69" s="15" t="str">
        <f>hyperlink("https://www.aranasoft.com/", "Company Website")</f>
        <v>Company Website</v>
      </c>
      <c r="J69" s="23" t="s">
        <v>139</v>
      </c>
      <c r="K69" s="6"/>
    </row>
    <row r="70">
      <c r="A70" s="20" t="s">
        <v>141</v>
      </c>
      <c r="B70" s="14" t="s">
        <v>11</v>
      </c>
      <c r="C70" s="15" t="str">
        <f>hyperlink("https://www.dropbox.com/s/kkc192g9srhzgfl/Creative%20Solutions%20to%20Already%20Solved%20Problems.pdf.pdf?dl=0", "Dropbox: Presentation")</f>
        <v>Dropbox: Presentation</v>
      </c>
      <c r="D70" s="29"/>
      <c r="E70" s="7"/>
      <c r="F70" s="7"/>
      <c r="G70" s="7"/>
      <c r="H70" s="14"/>
      <c r="I70" s="18"/>
      <c r="J70" s="19"/>
      <c r="K70" s="6"/>
    </row>
    <row r="71">
      <c r="A71" s="20" t="s">
        <v>142</v>
      </c>
      <c r="B71" s="14" t="s">
        <v>11</v>
      </c>
      <c r="C71" s="15" t="str">
        <f>hyperlink("https://speakerdeck.com/mrdowden/css-important", "Speakerdeck: Presentation")</f>
        <v>Speakerdeck: Presentation</v>
      </c>
      <c r="D71" s="22" t="s">
        <v>73</v>
      </c>
      <c r="E71" s="31" t="str">
        <f>hyperlink("http://twitter.com/intent/user?screen_name=mrdowden", "@mrdowden")</f>
        <v>@mrdowden</v>
      </c>
      <c r="G71" s="17" t="str">
        <f>hyperlink("https://www.linkedin.com/in/mrdowden", "LinkedIn")</f>
        <v>LinkedIn</v>
      </c>
      <c r="H71" s="14"/>
      <c r="I71" s="25" t="str">
        <f>hyperlink("https://andromeda16.com/", "Company Website")</f>
        <v>Company Website</v>
      </c>
      <c r="J71" s="24" t="str">
        <f>hyperlink("https://dzone.com/users/981479/mdowden.html", "blog")</f>
        <v>blog</v>
      </c>
      <c r="K71" s="6"/>
    </row>
    <row r="72">
      <c r="A72" s="20" t="s">
        <v>143</v>
      </c>
      <c r="B72" s="14" t="s">
        <v>11</v>
      </c>
      <c r="C72" s="15" t="str">
        <f>hyperlink("https://www.slideshare.net/gvenzl/data-management-in-a-microservices-world-128345289", "presentation")</f>
        <v>presentation</v>
      </c>
      <c r="D72" s="22" t="s">
        <v>144</v>
      </c>
      <c r="E72" s="31" t="str">
        <f>hyperlink("http://twitter.com/intent/user?screen_name=GeraldVenzl", "@GeraldVenzl")</f>
        <v>@GeraldVenzl</v>
      </c>
      <c r="G72" s="17" t="str">
        <f>hyperlink("https://www.linkedin.com/in/geraldvenzl/", "LinkedIn")</f>
        <v>LinkedIn</v>
      </c>
      <c r="H72" s="19"/>
      <c r="I72" s="25" t="str">
        <f>hyperlink("https://www.oracle.com/", "Company Website")</f>
        <v>Company Website</v>
      </c>
      <c r="J72" s="24" t="str">
        <f>hyperlink("https://geraldonit.com/", "blog")</f>
        <v>blog</v>
      </c>
      <c r="K72" s="6"/>
    </row>
    <row r="73">
      <c r="A73" s="20" t="s">
        <v>145</v>
      </c>
      <c r="B73" s="14" t="s">
        <v>11</v>
      </c>
      <c r="C73" s="19"/>
      <c r="D73" s="22" t="s">
        <v>146</v>
      </c>
      <c r="E73" s="31" t="str">
        <f>hyperlink("http://twitter.com/intent/user?screen_name=garyshort", "@garyshort")</f>
        <v>@garyshort</v>
      </c>
      <c r="F73" s="31" t="str">
        <f>hyperlink("http://twitter.com/intent/user?screen_name=galiyawarrier", "@galiyawarrier")</f>
        <v>@galiyawarrier</v>
      </c>
      <c r="G73" s="17" t="str">
        <f>hyperlink("https://www.linkedin.com/in/garyshort/", "LinkedIn")</f>
        <v>LinkedIn</v>
      </c>
      <c r="H73" s="15" t="str">
        <f>hyperlink("https://www.linkedin.com/in/galiyawarrier/", "LinkedIn")</f>
        <v>LinkedIn</v>
      </c>
      <c r="I73" s="18"/>
      <c r="J73" s="24" t="str">
        <f>hyperlink("https://garyshortblog.wordpress.com/", "blog")</f>
        <v>blog</v>
      </c>
      <c r="K73" s="6"/>
    </row>
    <row r="74">
      <c r="A74" s="20" t="s">
        <v>147</v>
      </c>
      <c r="B74" s="14" t="s">
        <v>11</v>
      </c>
      <c r="C74" s="15" t="str">
        <f>hyperlink("https://www.sqlsaturday.com/SessionDownload.aspx?suid=16593", "presentation")</f>
        <v>presentation</v>
      </c>
      <c r="D74" s="22" t="s">
        <v>148</v>
      </c>
      <c r="E74" s="31" t="str">
        <f>hyperlink("http://twitter.com/intent/user?screen_name=sqlrus", "@sqlrus")</f>
        <v>@sqlrus</v>
      </c>
      <c r="G74" s="7"/>
      <c r="H74" s="19"/>
      <c r="I74" s="25" t="str">
        <f>hyperlink("http://dcac.co/", "Company Website")</f>
        <v>Company Website</v>
      </c>
      <c r="J74" s="24" t="str">
        <f>hyperlink("https://sqlrus.com/", "blog")</f>
        <v>blog</v>
      </c>
      <c r="K74" s="6"/>
    </row>
    <row r="75">
      <c r="A75" s="20" t="s">
        <v>149</v>
      </c>
      <c r="B75" s="14" t="s">
        <v>11</v>
      </c>
      <c r="C75" s="1" t="str">
        <f>hyperlink("https://robrich.org/slides/database-devops-with-containers/#/", "Slides")</f>
        <v>Slides</v>
      </c>
      <c r="D75" s="22" t="s">
        <v>150</v>
      </c>
      <c r="E75" s="31" t="str">
        <f>hyperlink("http://twitter.com/intent/user?screen_name=rob_rich", "@rob_rich")</f>
        <v>@rob_rich</v>
      </c>
      <c r="G75" s="7"/>
      <c r="H75" s="19"/>
      <c r="I75" s="41" t="str">
        <f>hyperlink("https://github.com/robrich/database-devops-with-containers", "github")</f>
        <v>github</v>
      </c>
      <c r="J75" s="24" t="str">
        <f>hyperlink("https://robrich.org/", "blog")</f>
        <v>blog</v>
      </c>
      <c r="K75" s="6"/>
    </row>
    <row r="76">
      <c r="A76" s="20" t="s">
        <v>151</v>
      </c>
      <c r="B76" s="14" t="s">
        <v>11</v>
      </c>
      <c r="C76" s="15" t="str">
        <f>hyperlink("https://docs.google.com/presentation/d/1pWIlwM2EwXoDIjBnQasesIGmu6uRqdNru39pvta3Tas/edit?usp=sharing", "Presentation (Google Docs)")</f>
        <v>Presentation (Google Docs)</v>
      </c>
      <c r="D76" s="22" t="s">
        <v>152</v>
      </c>
      <c r="E76" s="31" t="str">
        <f>hyperlink("http://twitter.com/intent/user?screen_name=contrivedex", "@contrivedex")</f>
        <v>@contrivedex</v>
      </c>
      <c r="G76" s="42" t="str">
        <f>hyperlink("https://www.linkedin.com/in/contrivedexample", "LinkedIn")</f>
        <v>LinkedIn</v>
      </c>
      <c r="H76" s="28"/>
      <c r="I76" s="25" t="str">
        <f>hyperlink("https://contrivedexample.com/", "Company Website")</f>
        <v>Company Website</v>
      </c>
      <c r="J76" s="24" t="str">
        <f>hyperlink("https://contrivedexample.com/", "blog")</f>
        <v>blog</v>
      </c>
      <c r="K76" s="6"/>
    </row>
    <row r="77">
      <c r="A77" s="20" t="s">
        <v>153</v>
      </c>
      <c r="B77" s="14" t="s">
        <v>11</v>
      </c>
      <c r="C77" s="19"/>
      <c r="D77" s="22" t="s">
        <v>154</v>
      </c>
      <c r="E77" s="31" t="str">
        <f>hyperlink("http://twitter.com/intent/user?screen_name=burningion", "@burningion")</f>
        <v>@burningion</v>
      </c>
      <c r="G77" s="42" t="str">
        <f>hyperlink("https://www.linkedin.com/in/k-p-kaiser-94500124", "LinkedIn")</f>
        <v>LinkedIn</v>
      </c>
      <c r="H77" s="30"/>
      <c r="I77" s="18"/>
      <c r="J77" s="24" t="str">
        <f>hyperlink("https://www.makeartwithpython.com/", "blog")</f>
        <v>blog</v>
      </c>
      <c r="K77" s="6"/>
    </row>
    <row r="78">
      <c r="A78" s="20" t="s">
        <v>155</v>
      </c>
      <c r="B78" s="14" t="s">
        <v>11</v>
      </c>
      <c r="C78" s="19"/>
      <c r="D78" s="22" t="s">
        <v>156</v>
      </c>
      <c r="E78" s="7"/>
      <c r="F78" s="7"/>
      <c r="G78" s="7"/>
      <c r="H78" s="30"/>
      <c r="I78" s="18"/>
      <c r="J78" s="24" t="str">
        <f>hyperlink("https://developer.oracle.com/", "blog")</f>
        <v>blog</v>
      </c>
      <c r="K78" s="6"/>
    </row>
    <row r="79">
      <c r="A79" s="20" t="s">
        <v>157</v>
      </c>
      <c r="B79" s="14" t="s">
        <v>11</v>
      </c>
      <c r="C79" s="15" t="str">
        <f>hyperlink("https://github.com/guyroyse/deep-learning-like-a-viking", "GitHub: Deep Learning Like a Viking")</f>
        <v>GitHub: Deep Learning Like a Viking</v>
      </c>
      <c r="D79" s="43" t="s">
        <v>158</v>
      </c>
      <c r="E79" s="36" t="str">
        <f>hyperlink("http://twitter.com/intent/user?screen_name=guyroyse", "@guyroyse")</f>
        <v>@guyroyse</v>
      </c>
      <c r="G79" s="42" t="str">
        <f>hyperlink("https://www.linkedin.com/in/groyse/", "LinkedIn")</f>
        <v>LinkedIn</v>
      </c>
      <c r="H79" s="14"/>
      <c r="I79" s="23" t="str">
        <f>hyperlink("https://github.com/bigfoot-classinator", "GitHub: Bigfoot Classinator")</f>
        <v>GitHub: Bigfoot Classinator</v>
      </c>
      <c r="J79" s="32" t="str">
        <f>hyperlink("https://blog.datarobot.com/machine-learning-for-developers-lies-truth-and-business-logic", "Machine Learning for Developers: Lies, Truth, and Business Logic")</f>
        <v>Machine Learning for Developers: Lies, Truth, and Business Logic</v>
      </c>
      <c r="K79" s="34" t="str">
        <f>hyperlink("http://guyroyse.com/", "blog")</f>
        <v>blog</v>
      </c>
    </row>
    <row r="80">
      <c r="A80" s="20" t="s">
        <v>159</v>
      </c>
      <c r="B80" s="14" t="s">
        <v>11</v>
      </c>
      <c r="C80" s="19"/>
      <c r="D80" s="26" t="s">
        <v>160</v>
      </c>
      <c r="E80" s="36" t="str">
        <f>hyperlink("http://twitter.com/intent/user?screen_name=Greenpal", "@Greenpal")</f>
        <v>@Greenpal</v>
      </c>
      <c r="G80" s="42" t="str">
        <f>hyperlink("https://www.linkedin.com/in/suganthi-giridharan-a13a303/", "LinkedIn")</f>
        <v>LinkedIn</v>
      </c>
      <c r="H80" s="19"/>
      <c r="I80" s="18"/>
      <c r="J80" s="19"/>
      <c r="K80" s="6"/>
    </row>
    <row r="81">
      <c r="A81" s="20" t="s">
        <v>161</v>
      </c>
      <c r="B81" s="14" t="s">
        <v>11</v>
      </c>
      <c r="C81" s="15" t="str">
        <f>hyperlink("https://github.com/gwincr11/Communicating-through-code/raw/master/workshop%20presentation/design%20thinking%20for%20developers%20codemash%202019.pdf", "GitHub: Presentation")</f>
        <v>GitHub: Presentation</v>
      </c>
      <c r="D81" s="22" t="s">
        <v>162</v>
      </c>
      <c r="E81" s="17" t="str">
        <f>hyperlink("http://twitter.com/intent/user?screen_name=gwincr11", "@gwincr11")</f>
        <v>@gwincr11</v>
      </c>
      <c r="G81" s="17" t="str">
        <f>hyperlink("https://www.linkedin.com/in/corygwin/", "LinkedIn")</f>
        <v>LinkedIn</v>
      </c>
      <c r="H81" s="14"/>
      <c r="I81" s="18"/>
      <c r="J81" s="19"/>
      <c r="K81" s="6"/>
    </row>
    <row r="82">
      <c r="A82" s="20" t="s">
        <v>163</v>
      </c>
      <c r="B82" s="14" t="s">
        <v>11</v>
      </c>
      <c r="C82" s="15" t="str">
        <f>hyperlink("https://github.com/vjpudelski/cc_devdesktopappswithelectron/blob/master/Electron.key", "presentation")</f>
        <v>presentation</v>
      </c>
      <c r="D82" s="22" t="s">
        <v>164</v>
      </c>
      <c r="E82" s="17" t="str">
        <f>hyperlink("http://twitter.com/intent/user?screen_name=vjpudelski", "@vjpudelski")</f>
        <v>@vjpudelski</v>
      </c>
      <c r="G82" s="42" t="str">
        <f>hyperlink("https://www.linkedin.com/in/vjpudelski/", "LinkedIn")</f>
        <v>LinkedIn</v>
      </c>
      <c r="H82" s="19"/>
      <c r="I82" s="18"/>
      <c r="J82" s="24" t="str">
        <f>hyperlink("http://gitfetchvictor.com/", "blog")</f>
        <v>blog</v>
      </c>
      <c r="K82" s="6"/>
    </row>
    <row r="83">
      <c r="A83" s="20" t="s">
        <v>165</v>
      </c>
      <c r="B83" s="14" t="s">
        <v>11</v>
      </c>
      <c r="C83" s="19"/>
      <c r="D83" s="22" t="s">
        <v>166</v>
      </c>
      <c r="E83" s="17" t="str">
        <f>hyperlink("http://twitter.com/intent/user?screen_name=aspleenic", "@aspleenic")</f>
        <v>@aspleenic</v>
      </c>
      <c r="G83" s="42" t="str">
        <f>hyperlink("http://linkedin.com/in/pjhagerty", "LinkedIn")</f>
        <v>LinkedIn</v>
      </c>
      <c r="H83" s="19"/>
      <c r="I83" s="25" t="str">
        <f>hyperlink("http://devrelate.io/", "Company Website")</f>
        <v>Company Website</v>
      </c>
      <c r="J83" s="24" t="str">
        <f>hyperlink("http://iampj.xyz/", "blog")</f>
        <v>blog</v>
      </c>
      <c r="K83" s="6"/>
    </row>
    <row r="84">
      <c r="A84" s="20" t="s">
        <v>167</v>
      </c>
      <c r="B84" s="14" t="s">
        <v>11</v>
      </c>
      <c r="C84" s="19"/>
      <c r="D84" s="22" t="s">
        <v>168</v>
      </c>
      <c r="E84" s="17" t="str">
        <f>hyperlink("http://twitter.com/intent/user?screen_name=ambertests", "@ambertests")</f>
        <v>@ambertests</v>
      </c>
      <c r="G84" s="42" t="str">
        <f>hyperlink("https://www.linkedin.com/in/amber-race-tests/", "LinkedIn")</f>
        <v>LinkedIn</v>
      </c>
      <c r="H84" s="19"/>
      <c r="I84" s="18"/>
      <c r="J84" s="24" t="str">
        <f>hyperlink("https://ambertests.com/", "blog")</f>
        <v>blog</v>
      </c>
      <c r="K84" s="6"/>
    </row>
    <row r="85">
      <c r="A85" s="20" t="s">
        <v>169</v>
      </c>
      <c r="B85" s="14" t="s">
        <v>11</v>
      </c>
      <c r="C85" s="15" t="str">
        <f>hyperlink("https://www.slideshare.net/PatrickBadley/discovering-your-team-codemash", "presentation")</f>
        <v>presentation</v>
      </c>
      <c r="D85" s="26" t="s">
        <v>170</v>
      </c>
      <c r="E85" s="31" t="str">
        <f>hyperlink("http://twitter.com/intent/user?screen_name=PatrickBadley", "@PatrickBadley")</f>
        <v>@PatrickBadley</v>
      </c>
      <c r="G85" s="31" t="str">
        <f>hyperlink("https://www.linkedin.com/in/patrickbadley/", "LinkedIn")</f>
        <v>LinkedIn</v>
      </c>
      <c r="H85" s="14"/>
      <c r="I85" s="25" t="str">
        <f>HYPERLINK("http://www.hmbnet.com/", "Company Website")</f>
        <v>Company Website</v>
      </c>
      <c r="J85" s="24" t="str">
        <f>HYPERLINK("https://patrickbadley.blogspot.com/", "blog")</f>
        <v>blog</v>
      </c>
      <c r="K85" s="6"/>
    </row>
    <row r="86">
      <c r="A86" s="20" t="s">
        <v>171</v>
      </c>
      <c r="B86" s="14" t="s">
        <v>14</v>
      </c>
      <c r="C86" s="19"/>
      <c r="D86" s="22" t="s">
        <v>172</v>
      </c>
      <c r="E86" s="7"/>
      <c r="F86" s="7"/>
      <c r="G86" s="7"/>
      <c r="H86" s="19"/>
      <c r="I86" s="18"/>
      <c r="J86" s="24" t="str">
        <f>hyperlink("https://quickenloanscareers.com/", "blog")</f>
        <v>blog</v>
      </c>
      <c r="K86" s="6"/>
    </row>
    <row r="87">
      <c r="A87" s="20" t="s">
        <v>173</v>
      </c>
      <c r="B87" s="14" t="s">
        <v>11</v>
      </c>
      <c r="C87" s="19"/>
      <c r="D87" s="22" t="s">
        <v>174</v>
      </c>
      <c r="E87" s="7"/>
      <c r="F87" s="7"/>
      <c r="G87" s="7"/>
      <c r="H87" s="19"/>
      <c r="I87" s="18"/>
      <c r="J87" s="24" t="str">
        <f>hyperlink("http://www.icctechnology.com/", "blog")</f>
        <v>blog</v>
      </c>
      <c r="K87" s="6"/>
    </row>
    <row r="88">
      <c r="A88" s="20" t="s">
        <v>175</v>
      </c>
      <c r="B88" s="14" t="s">
        <v>11</v>
      </c>
      <c r="C88" s="19"/>
      <c r="D88" s="22" t="s">
        <v>176</v>
      </c>
      <c r="E88" s="31" t="str">
        <f>hyperlink("http://twitter.com/intent/user?screen_name=techRoden", "@techRoden")</f>
        <v>@techRoden</v>
      </c>
      <c r="G88" s="42" t="str">
        <f>HYPERLINK("https://www.linkedin.com/in/andrew-roden-7b226459/", "LinkedIn")</f>
        <v>LinkedIn</v>
      </c>
      <c r="H88" s="19"/>
      <c r="I88" s="18"/>
      <c r="J88" s="19"/>
      <c r="K88" s="6"/>
    </row>
    <row r="89">
      <c r="A89" s="20" t="s">
        <v>177</v>
      </c>
      <c r="B89" s="14" t="s">
        <v>11</v>
      </c>
      <c r="C89" s="15" t="str">
        <f>hyperlink("https://speakerdeck.com/saragibby/dont-rewrite-react-codemash-2019", "presentation")</f>
        <v>presentation</v>
      </c>
      <c r="D89" s="22" t="s">
        <v>178</v>
      </c>
      <c r="E89" s="31" t="str">
        <f>hyperlink("http://twitter.com/intent/user?screen_name=saragibby", "@saragibby")</f>
        <v>@saragibby</v>
      </c>
      <c r="G89" s="42" t="str">
        <f>HYPERLINK("https://www.linkedin.com/in/saragibby/", "LinkedIn")</f>
        <v>LinkedIn</v>
      </c>
      <c r="H89" s="14"/>
      <c r="I89" s="18"/>
      <c r="J89" s="19"/>
      <c r="K89" s="6"/>
    </row>
    <row r="90">
      <c r="A90" s="20" t="s">
        <v>179</v>
      </c>
      <c r="B90" s="14" t="s">
        <v>11</v>
      </c>
      <c r="C90" s="15" t="str">
        <f>hyperlink("https://speakerdeck.com/tolkiana/embrace-your-legacy-dot-dot-dot-code", "presentation")</f>
        <v>presentation</v>
      </c>
      <c r="D90" s="22" t="s">
        <v>180</v>
      </c>
      <c r="E90" s="17" t="str">
        <f>hyperlink("http://twitter.com/intent/user?screen_name=tolkiana", "@tolkiana")</f>
        <v>@tolkiana</v>
      </c>
      <c r="G90" s="17" t="str">
        <f>HYPERLINK("https://www.linkedin.com/in/nelida-velazquez-56967014/", "LinkedIn")</f>
        <v>LinkedIn</v>
      </c>
      <c r="H90" s="28"/>
      <c r="I90" s="18"/>
      <c r="J90" s="19"/>
      <c r="K90" s="6"/>
    </row>
    <row r="91">
      <c r="A91" s="20" t="s">
        <v>181</v>
      </c>
      <c r="B91" s="14" t="s">
        <v>11</v>
      </c>
      <c r="C91" s="15" t="str">
        <f>hyperlink("https://www.dropbox.com/s/kaj5mod9own0hho/Enhance%20Your%20Career%20with%20a%20Mastermind%20Group.pptx?dl=0", "presentation")</f>
        <v>presentation</v>
      </c>
      <c r="D91" s="22" t="s">
        <v>182</v>
      </c>
      <c r="E91" s="17" t="str">
        <f>hyperlink("http://twitter.com/intent/user?screen_name=1kevgriff", "@1kevgriff")</f>
        <v>@1kevgriff</v>
      </c>
      <c r="G91" s="42" t="str">
        <f>HYPERLINK("https://linkedin.com/in/1kevgriff", "LinkedIn")</f>
        <v>LinkedIn</v>
      </c>
      <c r="H91" s="30"/>
      <c r="I91" s="25" t="str">
        <f>HYPERLINK("https://swiftkick.in/", "Company Website")</f>
        <v>Company Website</v>
      </c>
      <c r="J91" s="24" t="str">
        <f>HYPERLINK("https://kevgriffin.com/", "blog")</f>
        <v>blog</v>
      </c>
      <c r="K91" s="6"/>
    </row>
    <row r="92">
      <c r="A92" s="20" t="s">
        <v>183</v>
      </c>
      <c r="B92" s="14" t="s">
        <v>11</v>
      </c>
      <c r="C92" s="19"/>
      <c r="D92" s="22" t="s">
        <v>184</v>
      </c>
      <c r="E92" s="17" t="str">
        <f>hyperlink("http://twitter.com/intent/user?screen_name=cwoodruff", "@cwoodruff")</f>
        <v>@cwoodruff</v>
      </c>
      <c r="G92" s="42" t="str">
        <f>HYPERLINK("https://www.linkedin.com/in/chriswoodruff/", "LinkedIn")</f>
        <v>LinkedIn</v>
      </c>
      <c r="H92" s="19"/>
      <c r="I92" s="25" t="str">
        <f>HYPERLINK("https://www.jetbrains.com/", "Company Website")</f>
        <v>Company Website</v>
      </c>
      <c r="J92" s="24" t="str">
        <f>HYPERLINK("http://www.chriswoodruff.com/blog/", "blog")</f>
        <v>blog</v>
      </c>
      <c r="K92" s="6"/>
      <c r="M92" s="30"/>
    </row>
    <row r="93">
      <c r="A93" s="20" t="s">
        <v>185</v>
      </c>
      <c r="B93" s="14" t="s">
        <v>11</v>
      </c>
      <c r="C93" s="19"/>
      <c r="D93" s="22" t="s">
        <v>186</v>
      </c>
      <c r="E93" s="17" t="str">
        <f>hyperlink("http://twitter.com/intent/user?screen_name=jasonbock", "@jasonbock")</f>
        <v>@jasonbock</v>
      </c>
      <c r="G93" s="42" t="str">
        <f>hyperlink("https://www.linkedin.com/in/jasonrbock/", "LinkedIn")</f>
        <v>LinkedIn</v>
      </c>
      <c r="H93" s="19"/>
      <c r="I93" s="25" t="str">
        <f>HYPERLINK("https://www.magenic.com/", "Company Website")</f>
        <v>Company Website</v>
      </c>
      <c r="J93" s="24" t="str">
        <f>HYPERLINK("http://jasonbock.net/", "blog")</f>
        <v>blog</v>
      </c>
      <c r="K93" s="6"/>
    </row>
    <row r="94">
      <c r="A94" s="20" t="s">
        <v>187</v>
      </c>
      <c r="B94" s="14" t="s">
        <v>11</v>
      </c>
      <c r="C94" s="19"/>
      <c r="D94" s="22" t="s">
        <v>188</v>
      </c>
      <c r="E94" s="17" t="str">
        <f>hyperlink("http://twitter.com/intent/user?screen_name=davetrux", "@davetrux")</f>
        <v>@davetrux</v>
      </c>
      <c r="G94" s="42" t="str">
        <f>HYPERLINK("https://www.linkedin.com/in/davetrux/", "LinkedIn")</f>
        <v>LinkedIn</v>
      </c>
      <c r="H94" s="19"/>
      <c r="I94" s="18"/>
      <c r="J94" s="24" t="str">
        <f>HYPERLINK("https://davidtruxall.com/", "blog")</f>
        <v>blog</v>
      </c>
      <c r="K94" s="6"/>
    </row>
    <row r="95">
      <c r="A95" s="20" t="s">
        <v>189</v>
      </c>
      <c r="B95" s="14" t="s">
        <v>11</v>
      </c>
      <c r="C95" s="15" t="str">
        <f>hyperlink("https://www.slideshare.net/AmberRace/expand-your-testing-with-virtual-services", "presentation")</f>
        <v>presentation</v>
      </c>
      <c r="D95" s="22" t="s">
        <v>168</v>
      </c>
      <c r="E95" s="17" t="str">
        <f>hyperlink("http://twitter.com/intent/user?screen_name=ambertests", "@ambertests")</f>
        <v>@ambertests</v>
      </c>
      <c r="G95" s="42" t="str">
        <f>hyperlink("https://www.linkedin.com/in/amber-race-tests/", "LinkedIn")</f>
        <v>LinkedIn</v>
      </c>
      <c r="H95" s="19"/>
      <c r="I95" s="18"/>
      <c r="J95" s="24" t="str">
        <f>hyperlink("https://ambertests.com/", "blog")</f>
        <v>blog</v>
      </c>
      <c r="K95" s="6"/>
    </row>
    <row r="96">
      <c r="A96" s="20" t="s">
        <v>190</v>
      </c>
      <c r="B96" s="14" t="s">
        <v>11</v>
      </c>
      <c r="C96" s="15" t="s">
        <v>191</v>
      </c>
      <c r="D96" s="22" t="s">
        <v>192</v>
      </c>
      <c r="E96" s="31" t="str">
        <f>hyperlink("http://twitter.com/intent/user?screen_name=SheWrestlesTest", "@SheWrestlesTest")</f>
        <v>@SheWrestlesTest</v>
      </c>
      <c r="F96" s="31"/>
      <c r="G96" s="42" t="str">
        <f>HYPERLINK("https://www.linkedin.com/in/jbcharlton/", "LinkedIn")</f>
        <v>LinkedIn</v>
      </c>
      <c r="H96" s="14"/>
      <c r="I96" s="18"/>
      <c r="J96" s="19"/>
      <c r="K96" s="6"/>
    </row>
    <row r="97">
      <c r="A97" s="20" t="s">
        <v>193</v>
      </c>
      <c r="B97" s="14" t="s">
        <v>11</v>
      </c>
      <c r="C97" s="19"/>
      <c r="D97" s="22" t="s">
        <v>194</v>
      </c>
      <c r="E97" s="17" t="str">
        <f>hyperlink("http://twitter.com/intent/user?screen_name=ayende", "@ayende")</f>
        <v>@ayende</v>
      </c>
      <c r="G97" s="42" t="str">
        <f>HYPERLINK("https://www.linkedin.com/in/ravendb", "LinkedIn")</f>
        <v>LinkedIn</v>
      </c>
      <c r="H97" s="19"/>
      <c r="I97" s="18"/>
      <c r="J97" s="24" t="str">
        <f>HYPERLINK("https://ayende.com/blog", "blog")</f>
        <v>blog</v>
      </c>
      <c r="K97" s="6"/>
    </row>
    <row r="98">
      <c r="A98" s="20" t="s">
        <v>195</v>
      </c>
      <c r="B98" s="14" t="s">
        <v>11</v>
      </c>
      <c r="C98" s="19"/>
      <c r="D98" s="22" t="s">
        <v>196</v>
      </c>
      <c r="E98" s="17" t="str">
        <f>hyperlink("http://twitter.com/intent/user?screen_name=pottereric", "@pottereric")</f>
        <v>@pottereric</v>
      </c>
      <c r="G98" s="42" t="str">
        <f>HYPERLINK("https://www.linkedin.com/in/eric-potter-07955742/", "LinkedIn")</f>
        <v>LinkedIn</v>
      </c>
      <c r="H98" s="19"/>
      <c r="I98" s="25" t="str">
        <f>HYPERLINK("https://www.apterainc.com/", "Company Website")</f>
        <v>Company Website</v>
      </c>
      <c r="J98" s="24" t="str">
        <f>HYPERLINK("http://humbletoolsmith.com/", "blog")</f>
        <v>blog</v>
      </c>
      <c r="K98" s="6"/>
    </row>
    <row r="99">
      <c r="A99" s="20" t="s">
        <v>197</v>
      </c>
      <c r="B99" s="14" t="s">
        <v>11</v>
      </c>
      <c r="C99" s="15" t="str">
        <f>hyperlink("https://speakerdeck.com/myotive/flutter-for-android-developers", "presentation")</f>
        <v>presentation</v>
      </c>
      <c r="D99" s="26" t="s">
        <v>198</v>
      </c>
      <c r="E99" s="31" t="str">
        <f>hyperlink("http://twitter.com/intent/user?screen_name=myotive", "@myotive")</f>
        <v>@myotive</v>
      </c>
      <c r="G99" s="31" t="str">
        <f>HYPERLINK("https://www.linkedin.com/in/michaelyotive", "LinkedIn")</f>
        <v>LinkedIn</v>
      </c>
      <c r="H99" s="14"/>
      <c r="I99" s="25" t="str">
        <f>HYPERLINK("http://www.bignerdranch.com/", "Company Website")</f>
        <v>Company Website</v>
      </c>
      <c r="J99" s="19"/>
      <c r="K99" s="6"/>
    </row>
    <row r="100">
      <c r="A100" s="20" t="s">
        <v>199</v>
      </c>
      <c r="B100" s="14" t="s">
        <v>11</v>
      </c>
      <c r="C100" s="15" t="s">
        <v>200</v>
      </c>
      <c r="D100" s="26" t="s">
        <v>201</v>
      </c>
      <c r="E100" s="31" t="str">
        <f>hyperlink("http://twitter.com/intent/user?screen_name=cr0wst", "@cr0wst")</f>
        <v>@cr0wst</v>
      </c>
      <c r="G100" s="31"/>
      <c r="H100" s="14"/>
      <c r="I100" s="19"/>
      <c r="J100" s="19"/>
      <c r="K100" s="6"/>
    </row>
    <row r="101">
      <c r="A101" s="20" t="s">
        <v>202</v>
      </c>
      <c r="B101" s="14" t="s">
        <v>11</v>
      </c>
      <c r="C101" s="19"/>
      <c r="D101" s="22" t="s">
        <v>203</v>
      </c>
      <c r="E101" s="31" t="str">
        <f>hyperlink("http://twitter.com/intent/user?screen_name=BrandonMBruno", "@BrandonMBruno")</f>
        <v>@BrandonMBruno</v>
      </c>
      <c r="G101" s="42" t="str">
        <f>HYPERLINK("https://www.linkedin.com/in/brandonbruno/", "LinkedIn")</f>
        <v>LinkedIn</v>
      </c>
      <c r="H101" s="19"/>
      <c r="I101" s="18"/>
      <c r="J101" s="24" t="str">
        <f>HYPERLINK("https://www.sitecorespark.com/blog", "blog")</f>
        <v>blog</v>
      </c>
      <c r="K101" s="6"/>
    </row>
    <row r="102">
      <c r="A102" s="20" t="s">
        <v>204</v>
      </c>
      <c r="B102" s="14" t="s">
        <v>11</v>
      </c>
      <c r="C102" s="15" t="str">
        <f>hyperlink("https://chadgreen.blob.core.windows.net/slides/From%20Zero%20to%20Serverless%20-%20CodeMash.pdf", "Slides")</f>
        <v>Slides</v>
      </c>
      <c r="D102" s="22" t="s">
        <v>205</v>
      </c>
      <c r="E102" s="31" t="str">
        <f>hyperlink("http://twitter.com/intent/user?screen_name=chadgreen", "@chadgreen")</f>
        <v>@chadgreen</v>
      </c>
      <c r="G102" s="42" t="str">
        <f>HYPERLINK("https://www.linkedin.com/in/chadwickgreen/", "LinkedIn")</f>
        <v>LinkedIn</v>
      </c>
      <c r="H102" s="14"/>
      <c r="I102" s="25" t="str">
        <f>HYPERLINK("http://www.phrehab.com/", "Company Website")</f>
        <v>Company Website</v>
      </c>
      <c r="J102" s="19"/>
      <c r="K102" s="6"/>
    </row>
    <row r="103">
      <c r="A103" s="20" t="s">
        <v>206</v>
      </c>
      <c r="B103" s="14" t="s">
        <v>11</v>
      </c>
      <c r="C103" s="15" t="str">
        <f>hyperlink("https://docs.google.com/presentation/d/12YSqOI8iQjlOof39PGICbuMw-aSRYaHJWhTIjB4VbvM/edit?usp=sharing", "Google Docs: Presentation")</f>
        <v>Google Docs: Presentation</v>
      </c>
      <c r="D103" s="22" t="s">
        <v>207</v>
      </c>
      <c r="E103" s="17" t="str">
        <f>hyperlink("http://twitter.com/intent/user?screen_name=ryanbales", "@ryanbales")</f>
        <v>@ryanbales</v>
      </c>
      <c r="G103" s="42" t="str">
        <f>HYPERLINK("https://www.linkedin.com/in/ryanbales/", "LinkedIn")</f>
        <v>LinkedIn</v>
      </c>
      <c r="H103" s="14"/>
      <c r="I103" s="23" t="str">
        <f>hyperlink("https://github.com/ryanbales/Audio-Data-Insights", "GitHub: Code Reference")</f>
        <v>GitHub: Code Reference</v>
      </c>
      <c r="J103" s="19"/>
      <c r="K103" s="6"/>
    </row>
    <row r="104">
      <c r="A104" s="20" t="s">
        <v>208</v>
      </c>
      <c r="B104" s="14" t="s">
        <v>11</v>
      </c>
      <c r="C104" s="15" t="str">
        <f>hyperlink("http://jeremyrsellars.github.io/gratitude-generative-testing/slides.html", "GitHub: Slides")</f>
        <v>GitHub: Slides</v>
      </c>
      <c r="D104" s="26" t="s">
        <v>209</v>
      </c>
      <c r="E104" s="31" t="str">
        <f>hyperlink("http://twitter.com/intent/user?screen_name=agentJsellars", "@agentJsellars")</f>
        <v>@agentJsellars</v>
      </c>
      <c r="G104" s="31"/>
      <c r="H104" s="14"/>
      <c r="I104" s="18"/>
      <c r="J104" s="24" t="str">
        <f>HYPERLINK("https://jeremyrsellars.github.io/no-new-legacy/", "blog")</f>
        <v>blog</v>
      </c>
      <c r="K104" s="6"/>
    </row>
    <row r="105">
      <c r="A105" s="20" t="s">
        <v>210</v>
      </c>
      <c r="B105" s="14" t="s">
        <v>11</v>
      </c>
      <c r="C105" s="19"/>
      <c r="D105" s="22" t="s">
        <v>211</v>
      </c>
      <c r="E105" s="31" t="str">
        <f>hyperlink("http://twitter.com/intent/user?screen_name=ankurs3thi", "@ankurs3thi")</f>
        <v>@ankurs3thi</v>
      </c>
      <c r="G105" s="42" t="str">
        <f>HYPERLINK("https://www.linkedin.com/in/ankur-sethi-98899a164/", "LinkedIn")</f>
        <v>LinkedIn</v>
      </c>
      <c r="H105" s="19"/>
      <c r="I105" s="25" t="str">
        <f>HYPERLINK("http://uncommon.is/", "Company Website")</f>
        <v>Company Website</v>
      </c>
      <c r="J105" s="24" t="str">
        <f>HYPERLINK("https://ankursethi.in/", "blog")</f>
        <v>blog</v>
      </c>
      <c r="K105" s="6"/>
    </row>
    <row r="106">
      <c r="A106" s="20" t="s">
        <v>212</v>
      </c>
      <c r="B106" s="14" t="s">
        <v>11</v>
      </c>
      <c r="C106" s="19"/>
      <c r="D106" s="22" t="s">
        <v>213</v>
      </c>
      <c r="E106" s="31" t="str">
        <f>hyperlink("http://twitter.com/intent/user?screen_name=BrettTheWhitt", "@BrettTheWhitt")</f>
        <v>@BrettTheWhitt</v>
      </c>
      <c r="G106" s="42" t="str">
        <f>HYPERLINK("https://www.linkedin.com/in/brettawhittington/", "LinkedIn")</f>
        <v>LinkedIn</v>
      </c>
      <c r="H106" s="19"/>
      <c r="I106" s="25" t="str">
        <f>HYPERLINK("https://www.hmbnet.com/", "Company Website")</f>
        <v>Company Website</v>
      </c>
      <c r="J106" s="24" t="str">
        <f>HYPERLINK("https://brettthewhitt.com/", "blog")</f>
        <v>blog</v>
      </c>
      <c r="K106" s="6"/>
    </row>
    <row r="107">
      <c r="A107" s="20" t="s">
        <v>214</v>
      </c>
      <c r="B107" s="14" t="s">
        <v>11</v>
      </c>
      <c r="C107" s="15" t="s">
        <v>215</v>
      </c>
      <c r="D107" s="22" t="s">
        <v>216</v>
      </c>
      <c r="E107" s="31" t="str">
        <f>hyperlink("http://twitter.com/intent/user?screen_name=stuffbreaker", "@stuffbreaker")</f>
        <v>@stuffbreaker</v>
      </c>
      <c r="G107" s="42" t="str">
        <f>HYPERLINK("https://www.linkedin.com/in/burton-smith-48132a34/", "LinkedIn")</f>
        <v>LinkedIn</v>
      </c>
      <c r="H107" s="19"/>
      <c r="I107" s="18"/>
      <c r="J107" s="19"/>
      <c r="K107" s="6"/>
    </row>
    <row r="108">
      <c r="A108" s="20" t="s">
        <v>217</v>
      </c>
      <c r="B108" s="14" t="s">
        <v>11</v>
      </c>
      <c r="C108" s="19"/>
      <c r="D108" s="22" t="s">
        <v>218</v>
      </c>
      <c r="E108" s="31" t="str">
        <f>hyperlink("http://twitter.com/intent/user?screen_name=psiinon", "@psiinon")</f>
        <v>@psiinon</v>
      </c>
      <c r="G108" s="42" t="str">
        <f>HYPERLINK("https://www.linkedin.com/in/psiinon/", "LinkedIn")</f>
        <v>LinkedIn</v>
      </c>
      <c r="H108" s="19"/>
      <c r="I108" s="18"/>
      <c r="J108" s="19"/>
      <c r="K108" s="6"/>
    </row>
    <row r="109">
      <c r="A109" s="20" t="s">
        <v>219</v>
      </c>
      <c r="B109" s="14" t="s">
        <v>11</v>
      </c>
      <c r="C109" s="15" t="str">
        <f>hyperlink("https://speakerdeck.com/bmuschko/getting-the-most-out-of-your-next-generation-jvm-testing-framework", "SpeakerDeck: Presentation")</f>
        <v>SpeakerDeck: Presentation</v>
      </c>
      <c r="D109" s="22" t="s">
        <v>220</v>
      </c>
      <c r="E109" s="31" t="str">
        <f>hyperlink("http://twitter.com/intent/user?screen_name=bmuschko", "@bmuschko")</f>
        <v>@bmuschko</v>
      </c>
      <c r="G109" s="42" t="str">
        <f>HYPERLINK("https://www.linkedin.com/in/benjaminmuschko/", "LinkedIn")</f>
        <v>LinkedIn</v>
      </c>
      <c r="H109" s="14"/>
      <c r="I109" s="25" t="str">
        <f>HYPERLINK("https://automatedascent.com/", "Company Website")</f>
        <v>Company Website</v>
      </c>
      <c r="J109" s="24" t="str">
        <f>HYPERLINK("https://bmuschko.com/", "blog")</f>
        <v>blog</v>
      </c>
      <c r="K109" s="6"/>
    </row>
    <row r="110">
      <c r="A110" s="20" t="s">
        <v>221</v>
      </c>
      <c r="B110" s="14" t="s">
        <v>11</v>
      </c>
      <c r="C110" s="15" t="s">
        <v>222</v>
      </c>
      <c r="D110" s="35" t="s">
        <v>105</v>
      </c>
      <c r="E110" s="17" t="str">
        <f>hyperlink("http://twitter.com/intent/user?screen_name=pepopowitz", "@pepopowitz")</f>
        <v>@pepopowitz</v>
      </c>
      <c r="G110" s="17" t="str">
        <f>hyperlink("https://linkedin.com/in/stevenjhicks", "LinkedIn")</f>
        <v>LinkedIn</v>
      </c>
      <c r="H110" s="14"/>
      <c r="I110" s="44" t="s">
        <v>223</v>
      </c>
      <c r="J110" s="24" t="str">
        <f>hyperlink("https://stevenhicks.me/", "blog")</f>
        <v>blog</v>
      </c>
      <c r="K110" s="6"/>
    </row>
    <row r="111">
      <c r="A111" s="20" t="s">
        <v>224</v>
      </c>
      <c r="B111" s="14" t="s">
        <v>11</v>
      </c>
      <c r="C111" s="19"/>
      <c r="D111" s="22" t="s">
        <v>225</v>
      </c>
      <c r="E111" s="17" t="str">
        <f>hyperlink("http://twitter.com/intent/user?screen_name=magnusstahre", "@magnusstahre")</f>
        <v>@magnusstahre</v>
      </c>
      <c r="G111" s="42" t="str">
        <f>HYPERLINK("https://www.linkedin.com/in/magnusstahre/", "LinkedIn")</f>
        <v>LinkedIn</v>
      </c>
      <c r="H111" s="19"/>
      <c r="I111" s="30"/>
      <c r="J111" s="24" t="str">
        <f>HYPERLINK("http://ms.xy.org/", "blog")</f>
        <v>blog</v>
      </c>
      <c r="K111" s="6"/>
    </row>
    <row r="112">
      <c r="A112" s="20" t="s">
        <v>226</v>
      </c>
      <c r="B112" s="14" t="s">
        <v>11</v>
      </c>
      <c r="C112" s="19"/>
      <c r="D112" s="29"/>
      <c r="E112" s="7"/>
      <c r="F112" s="7"/>
      <c r="G112" s="7"/>
      <c r="H112" s="19"/>
      <c r="I112" s="45" t="str">
        <f>HYPERLINK("https://github.com/AishaBlake/give-feedback-fearlessly-workshop/tree/master/scenarios/initiator","Feedback scenarios")</f>
        <v>Feedback scenarios</v>
      </c>
      <c r="J112" s="19"/>
      <c r="K112" s="6"/>
    </row>
    <row r="113">
      <c r="A113" s="20" t="s">
        <v>227</v>
      </c>
      <c r="B113" s="14" t="s">
        <v>11</v>
      </c>
      <c r="C113" s="15" t="str">
        <f>hyperlink("https://www.dropbox.com/s/ml3dh7x8j6e0xeq/Gradle-Ketchup-CM19.pdf?dl=0", "presentation")</f>
        <v>presentation</v>
      </c>
      <c r="D113" s="22" t="s">
        <v>228</v>
      </c>
      <c r="E113" s="17" t="str">
        <f>hyperlink("http://twitter.com/intent/user?screen_name=DavidDLucas", "@DavidDLucas")</f>
        <v>@DavidDLucas</v>
      </c>
      <c r="G113" s="42" t="str">
        <f>hyperlink("https://www.linkedin.com/in/ddlucas", "LinkedIn")</f>
        <v>LinkedIn</v>
      </c>
      <c r="H113" s="19"/>
      <c r="I113" s="18"/>
      <c r="J113" s="19"/>
      <c r="K113" s="6"/>
    </row>
    <row r="114">
      <c r="A114" s="20" t="s">
        <v>229</v>
      </c>
      <c r="B114" s="14" t="s">
        <v>11</v>
      </c>
      <c r="C114" s="15" t="s">
        <v>230</v>
      </c>
      <c r="D114" s="22" t="s">
        <v>231</v>
      </c>
      <c r="E114" s="17" t="str">
        <f>hyperlink("http://twitter.com/intent/user?screen_name=likeOMGitsFEDAY", "@likeOMGitsFEDAY")</f>
        <v>@likeOMGitsFEDAY</v>
      </c>
      <c r="G114" s="7"/>
      <c r="H114" s="19"/>
      <c r="I114" s="18"/>
      <c r="J114" s="19"/>
      <c r="K114" s="6"/>
    </row>
    <row r="115">
      <c r="A115" s="20" t="s">
        <v>232</v>
      </c>
      <c r="B115" s="14" t="s">
        <v>11</v>
      </c>
      <c r="C115" s="19"/>
      <c r="D115" s="29"/>
      <c r="E115" s="7"/>
      <c r="F115" s="7"/>
      <c r="G115" s="7"/>
      <c r="H115" s="19"/>
      <c r="I115" s="46"/>
      <c r="J115" s="19"/>
      <c r="K115" s="6"/>
    </row>
    <row r="116">
      <c r="A116" s="20" t="s">
        <v>233</v>
      </c>
      <c r="B116" s="14" t="s">
        <v>11</v>
      </c>
      <c r="C116" s="15" t="s">
        <v>234</v>
      </c>
      <c r="D116" s="26" t="s">
        <v>235</v>
      </c>
      <c r="E116" s="31" t="str">
        <f>hyperlink("http://twitter.com/intent/user?screen_name=g33klady", "@g33klady")</f>
        <v>@g33klady</v>
      </c>
      <c r="G116" s="31"/>
      <c r="H116" s="14"/>
      <c r="I116" s="18"/>
      <c r="J116" s="19"/>
      <c r="K116" s="6"/>
    </row>
    <row r="117">
      <c r="A117" s="20" t="s">
        <v>236</v>
      </c>
      <c r="B117" s="14" t="s">
        <v>11</v>
      </c>
      <c r="C117" s="19"/>
      <c r="D117" s="29"/>
      <c r="E117" s="7"/>
      <c r="F117" s="7"/>
      <c r="G117" s="7"/>
      <c r="H117" s="19"/>
      <c r="I117" s="18"/>
      <c r="J117" s="19"/>
      <c r="K117" s="6"/>
    </row>
    <row r="118">
      <c r="A118" s="20" t="s">
        <v>237</v>
      </c>
      <c r="B118" s="14" t="s">
        <v>11</v>
      </c>
      <c r="C118" s="19"/>
      <c r="D118" s="29"/>
      <c r="E118" s="7"/>
      <c r="F118" s="7"/>
      <c r="G118" s="7"/>
      <c r="H118" s="19"/>
      <c r="I118" s="18"/>
      <c r="J118" s="19"/>
      <c r="K118" s="6"/>
    </row>
    <row r="119">
      <c r="A119" s="20" t="s">
        <v>56</v>
      </c>
      <c r="B119" s="14" t="s">
        <v>11</v>
      </c>
      <c r="C119" s="15" t="str">
        <f>hyperlink("https://www.slideshare.net/JoelLord4/asynchronicity-concurrency-a-tale-of", "presentation")</f>
        <v>presentation</v>
      </c>
      <c r="D119" s="26" t="s">
        <v>238</v>
      </c>
      <c r="E119" s="31" t="str">
        <f>hyperlink("http://twitter.com/intent/user?screen_name=joel__lord", "@joel__lord")</f>
        <v>@joel__lord</v>
      </c>
      <c r="G119" s="31"/>
      <c r="H119" s="14"/>
      <c r="I119" s="18"/>
      <c r="J119" s="19"/>
      <c r="K119" s="47" t="s">
        <v>239</v>
      </c>
    </row>
    <row r="120">
      <c r="A120" s="20" t="s">
        <v>240</v>
      </c>
      <c r="B120" s="14" t="s">
        <v>11</v>
      </c>
      <c r="C120" s="48" t="str">
        <f>HYPERLINK("https://speakerdeck.com/neall/higher-order-promises","presentation")</f>
        <v>presentation</v>
      </c>
      <c r="D120" s="26" t="s">
        <v>241</v>
      </c>
      <c r="E120" s="7"/>
      <c r="F120" s="7"/>
      <c r="G120" s="7"/>
      <c r="H120" s="19"/>
      <c r="I120" s="18"/>
      <c r="J120" s="19"/>
      <c r="K120" s="6"/>
    </row>
    <row r="121">
      <c r="A121" s="20" t="s">
        <v>242</v>
      </c>
      <c r="B121" s="14" t="s">
        <v>11</v>
      </c>
      <c r="C121" s="15" t="str">
        <f>hyperlink("https://exceptionnotfound.net/downloads/slides/CodeMash2019/LetMePutSomeAsyncInIt.pptx", "presentation")</f>
        <v>presentation</v>
      </c>
      <c r="D121" s="26" t="s">
        <v>243</v>
      </c>
      <c r="E121" s="31" t="str">
        <f>hyperlink("http://twitter.com/intent/user?screen_name=ExceptionNotFnd", "@ExceptionNotFnd")</f>
        <v>@ExceptionNotFnd</v>
      </c>
      <c r="G121" s="31"/>
      <c r="H121" s="14"/>
      <c r="I121" s="23" t="s">
        <v>244</v>
      </c>
      <c r="J121" s="19"/>
      <c r="K121" s="6"/>
    </row>
    <row r="122">
      <c r="A122" s="20" t="s">
        <v>245</v>
      </c>
      <c r="B122" s="14" t="s">
        <v>11</v>
      </c>
      <c r="C122" s="19"/>
      <c r="D122" s="22" t="s">
        <v>246</v>
      </c>
      <c r="E122" s="49" t="str">
        <f>HYPERLINK("https://twitter.com/rondagdag","@rondagdag")</f>
        <v>@rondagdag</v>
      </c>
      <c r="G122" s="49" t="str">
        <f>HYPERLINK("https://www.linkedin.com/in/rondagdag","LinkedIn")</f>
        <v>LinkedIn</v>
      </c>
      <c r="I122" s="37" t="s">
        <v>247</v>
      </c>
      <c r="J122" s="50" t="s">
        <v>248</v>
      </c>
      <c r="K122" s="6"/>
    </row>
    <row r="123">
      <c r="A123" s="20" t="s">
        <v>249</v>
      </c>
      <c r="B123" s="14" t="s">
        <v>11</v>
      </c>
      <c r="C123" s="19"/>
      <c r="D123" s="29"/>
      <c r="E123" s="7"/>
      <c r="F123" s="7"/>
      <c r="G123" s="7"/>
      <c r="H123" s="19"/>
      <c r="I123" s="18"/>
      <c r="J123" s="19"/>
      <c r="K123" s="6"/>
    </row>
    <row r="124">
      <c r="A124" s="20" t="s">
        <v>250</v>
      </c>
      <c r="B124" s="14" t="s">
        <v>11</v>
      </c>
      <c r="C124" s="19"/>
      <c r="D124" s="29"/>
      <c r="E124" s="7"/>
      <c r="F124" s="7"/>
      <c r="G124" s="7"/>
      <c r="H124" s="19"/>
      <c r="I124" s="18"/>
      <c r="J124" s="19"/>
      <c r="K124" s="6"/>
    </row>
    <row r="125">
      <c r="A125" s="20" t="s">
        <v>251</v>
      </c>
      <c r="B125" s="14" t="s">
        <v>11</v>
      </c>
      <c r="C125" s="19"/>
      <c r="D125" s="29"/>
      <c r="E125" s="7"/>
      <c r="F125" s="7"/>
      <c r="G125" s="7"/>
      <c r="H125" s="19"/>
      <c r="I125" s="18"/>
      <c r="J125" s="19"/>
      <c r="K125" s="6"/>
    </row>
    <row r="126">
      <c r="A126" s="20" t="s">
        <v>252</v>
      </c>
      <c r="B126" s="14" t="s">
        <v>11</v>
      </c>
      <c r="C126" s="19"/>
      <c r="D126" s="22" t="s">
        <v>253</v>
      </c>
      <c r="E126" s="51" t="str">
        <f>HYPERLINK("https://twitter.com/kendallmiller","@kendallmiller")</f>
        <v>@kendallmiller</v>
      </c>
      <c r="G126" s="49" t="str">
        <f>HYPERLINK("https://www.linkedin.com/in/kendallmiller/","LinkedIn")</f>
        <v>LinkedIn</v>
      </c>
      <c r="I126" s="18"/>
      <c r="J126" s="19"/>
      <c r="K126" s="6"/>
    </row>
    <row r="127">
      <c r="A127" s="20" t="s">
        <v>254</v>
      </c>
      <c r="B127" s="14" t="s">
        <v>11</v>
      </c>
      <c r="C127" s="19"/>
      <c r="D127" s="29"/>
      <c r="E127" s="7"/>
      <c r="F127" s="7"/>
      <c r="G127" s="7"/>
      <c r="H127" s="30"/>
      <c r="I127" s="18"/>
      <c r="J127" s="19"/>
      <c r="K127" s="6"/>
    </row>
    <row r="128">
      <c r="A128" s="52" t="s">
        <v>255</v>
      </c>
      <c r="B128" s="14" t="s">
        <v>11</v>
      </c>
      <c r="C128" s="15" t="str">
        <f>hyperlink("https://docs.google.com/presentation/d/1euA0l-CD6bwR6U3mD0xl4tHKq5er2HM9xn6sq2rti6U/edit#slide=id.p", "presentation")</f>
        <v>presentation</v>
      </c>
      <c r="D128" s="26" t="s">
        <v>256</v>
      </c>
      <c r="E128" s="27" t="str">
        <f>hyperlink("http://twitter.com/intent/user?screen_name=BeyondtheTeal", "@BeyondtheTeal")</f>
        <v>@BeyondtheTeal</v>
      </c>
      <c r="G128" s="40"/>
      <c r="H128" s="14"/>
      <c r="I128" s="18"/>
      <c r="J128" s="19"/>
      <c r="K128" s="6"/>
    </row>
    <row r="129">
      <c r="A129" s="20" t="s">
        <v>257</v>
      </c>
      <c r="B129" s="14" t="s">
        <v>11</v>
      </c>
      <c r="C129" s="19"/>
      <c r="D129" s="29"/>
      <c r="E129" s="7"/>
      <c r="F129" s="7"/>
      <c r="G129" s="7"/>
      <c r="H129" s="19"/>
      <c r="I129" s="18"/>
      <c r="J129" s="19"/>
      <c r="K129" s="6"/>
    </row>
    <row r="130">
      <c r="A130" s="20" t="s">
        <v>258</v>
      </c>
      <c r="B130" s="14" t="s">
        <v>11</v>
      </c>
      <c r="C130" s="19"/>
      <c r="D130" s="29"/>
      <c r="E130" s="7"/>
      <c r="F130" s="7"/>
      <c r="G130" s="7"/>
      <c r="H130" s="19"/>
      <c r="I130" s="18"/>
      <c r="J130" s="19"/>
      <c r="K130" s="6"/>
    </row>
    <row r="131">
      <c r="A131" s="20" t="s">
        <v>259</v>
      </c>
      <c r="B131" s="14" t="s">
        <v>11</v>
      </c>
      <c r="C131" s="15" t="str">
        <f>hyperlink("https://slides.com/geekygirlsarah/i-built-an-artificial-pancreas/", "presentation")</f>
        <v>presentation</v>
      </c>
      <c r="D131" s="22" t="s">
        <v>32</v>
      </c>
      <c r="E131" s="17" t="str">
        <f>hyperlink("http://twitter.com/intent/user?screen_name=geekygirlsarah", "@geekygirlsarah")</f>
        <v>@geekygirlsarah</v>
      </c>
      <c r="G131" s="7"/>
      <c r="H131" s="14"/>
      <c r="I131" s="18"/>
      <c r="J131" s="19"/>
      <c r="K131" s="6"/>
    </row>
    <row r="132">
      <c r="A132" s="20" t="s">
        <v>260</v>
      </c>
      <c r="B132" s="14" t="s">
        <v>11</v>
      </c>
      <c r="C132" s="50" t="str">
        <f>HYPERLINK("https://www.infoq.com/presentations/women-hiring-inclusivity","slides")</f>
        <v>slides</v>
      </c>
      <c r="D132" s="22" t="s">
        <v>261</v>
      </c>
      <c r="E132" s="7"/>
      <c r="F132" s="7"/>
      <c r="G132" s="7"/>
      <c r="H132" s="19"/>
      <c r="I132" s="18"/>
      <c r="J132" s="19"/>
      <c r="K132" s="6"/>
    </row>
    <row r="133">
      <c r="A133" s="20" t="s">
        <v>262</v>
      </c>
      <c r="B133" s="14" t="s">
        <v>11</v>
      </c>
      <c r="C133" s="19"/>
      <c r="D133" s="22" t="s">
        <v>46</v>
      </c>
      <c r="E133" s="17" t="str">
        <f>hyperlink("http://twitter.com/intent/user?screen_name=trembyl", "@trembyl")</f>
        <v>@trembyl</v>
      </c>
      <c r="G133" s="17" t="str">
        <f>hyperlink("https://www.linkedin.com/in/james-balmert-23ba9129/", "LinkedIn")</f>
        <v>LinkedIn</v>
      </c>
      <c r="H133" s="19"/>
      <c r="I133" s="18"/>
      <c r="J133" s="19"/>
      <c r="K133" s="6"/>
    </row>
    <row r="134">
      <c r="A134" s="20" t="s">
        <v>263</v>
      </c>
      <c r="B134" s="14" t="s">
        <v>11</v>
      </c>
      <c r="C134" s="15" t="str">
        <f>hyperlink("https://github.com/PellHelix/info-arch-for-the-soul/blob/master/Ryan%20Albertson%20-%20Information%20Architecture%20For%20The%20Soul.pdf", "Github: PDF presentation")</f>
        <v>Github: PDF presentation</v>
      </c>
      <c r="D134" s="22" t="s">
        <v>264</v>
      </c>
      <c r="E134" s="17" t="str">
        <f>hyperlink("http://twitter.com/intent/user?screen_name=PellHelix", "@PellHelix")</f>
        <v>@PellHelix</v>
      </c>
      <c r="G134" s="7"/>
      <c r="H134" s="19"/>
      <c r="I134" s="18"/>
      <c r="J134" s="19"/>
      <c r="K134" s="6"/>
    </row>
    <row r="135">
      <c r="A135" s="20" t="s">
        <v>265</v>
      </c>
      <c r="B135" s="14" t="s">
        <v>11</v>
      </c>
      <c r="C135" s="19"/>
      <c r="D135" s="29"/>
      <c r="E135" s="7"/>
      <c r="F135" s="7"/>
      <c r="G135" s="7"/>
      <c r="H135" s="19"/>
      <c r="I135" s="18"/>
      <c r="J135" s="19"/>
      <c r="K135" s="6"/>
    </row>
    <row r="136">
      <c r="A136" s="20" t="s">
        <v>266</v>
      </c>
      <c r="B136" s="14" t="s">
        <v>11</v>
      </c>
      <c r="C136" s="15" t="str">
        <f>hyperlink("https://docs.google.com/presentation/d/1F1amVN46zdMexKlj8wRhBvc1InpJk-_TIGB3o1TkC2o/edit", "presentation")</f>
        <v>presentation</v>
      </c>
      <c r="D136" s="26" t="s">
        <v>267</v>
      </c>
      <c r="E136" s="31" t="str">
        <f>hyperlink("http://twitter.com/intent/user?screen_name=chiefcll", "@chiefcll")</f>
        <v>@chiefcll</v>
      </c>
      <c r="G136" s="31"/>
      <c r="H136" s="14"/>
      <c r="I136" s="18"/>
      <c r="J136" s="19"/>
      <c r="K136" s="6"/>
    </row>
    <row r="137">
      <c r="A137" s="20" t="s">
        <v>268</v>
      </c>
      <c r="B137" s="14" t="s">
        <v>11</v>
      </c>
      <c r="C137" s="19"/>
      <c r="D137" s="29"/>
      <c r="E137" s="7"/>
      <c r="F137" s="7"/>
      <c r="G137" s="7"/>
      <c r="H137" s="19"/>
      <c r="I137" s="18"/>
      <c r="J137" s="19"/>
      <c r="K137" s="6"/>
    </row>
    <row r="138">
      <c r="A138" s="20" t="s">
        <v>269</v>
      </c>
      <c r="B138" s="14" t="s">
        <v>11</v>
      </c>
      <c r="C138" s="19"/>
      <c r="D138" s="35" t="s">
        <v>270</v>
      </c>
      <c r="E138" s="7"/>
      <c r="F138" s="7"/>
      <c r="G138" s="7"/>
      <c r="H138" s="19"/>
      <c r="I138" s="18"/>
      <c r="J138" s="19"/>
      <c r="K138" s="6"/>
    </row>
    <row r="139">
      <c r="A139" s="20" t="s">
        <v>271</v>
      </c>
      <c r="B139" s="14" t="s">
        <v>11</v>
      </c>
      <c r="C139" s="19"/>
      <c r="D139" s="29"/>
      <c r="E139" s="7"/>
      <c r="F139" s="7"/>
      <c r="G139" s="7"/>
      <c r="H139" s="19"/>
      <c r="I139" s="18"/>
      <c r="J139" s="19"/>
      <c r="K139" s="6"/>
    </row>
    <row r="140">
      <c r="A140" s="20" t="s">
        <v>272</v>
      </c>
      <c r="B140" s="14" t="s">
        <v>11</v>
      </c>
      <c r="C140" s="19"/>
      <c r="D140" s="29"/>
      <c r="E140" s="7"/>
      <c r="F140" s="7"/>
      <c r="G140" s="7"/>
      <c r="H140" s="19"/>
      <c r="I140" s="18"/>
      <c r="J140" s="19"/>
      <c r="K140" s="6"/>
    </row>
    <row r="141">
      <c r="A141" s="53" t="str">
        <f>hyperlink(C141, "It's Sedimentary, My Dear Watson: Finding Fossils Near You")</f>
        <v>It's Sedimentary, My Dear Watson: Finding Fossils Near You</v>
      </c>
      <c r="B141" s="14" t="s">
        <v>273</v>
      </c>
      <c r="C141" s="54" t="s">
        <v>274</v>
      </c>
      <c r="D141" s="22" t="s">
        <v>275</v>
      </c>
      <c r="E141" s="17" t="str">
        <f>hyperlink("http://twitter.com/intent/user?screen_name=matt_k_williams", "@matt_k_williams")</f>
        <v>@matt_k_williams</v>
      </c>
      <c r="G141" s="42" t="str">
        <f>hyperlink("https://www.linkedin.com/in/mattkwilliams/", "LinkedIn")</f>
        <v>LinkedIn</v>
      </c>
      <c r="H141" s="19"/>
      <c r="I141" s="25" t="str">
        <f>hyperlink("https://github.com/aetherical/sedimentary/wiki", "wiki")</f>
        <v>wiki</v>
      </c>
      <c r="J141" s="34" t="str">
        <f>hyperlink("https://github.com/aetherical/sedimentary/wiki/book", "SA booklet")</f>
        <v>SA booklet</v>
      </c>
      <c r="K141" s="24" t="str">
        <f>hyperlink("http://matthewkwilliams.com/", "blog")</f>
        <v>blog</v>
      </c>
    </row>
    <row r="142">
      <c r="A142" s="20" t="s">
        <v>276</v>
      </c>
      <c r="B142" s="14" t="s">
        <v>11</v>
      </c>
      <c r="C142" s="19"/>
      <c r="D142" s="29"/>
      <c r="E142" s="7"/>
      <c r="F142" s="7"/>
      <c r="G142" s="7"/>
      <c r="H142" s="19"/>
      <c r="I142" s="18"/>
      <c r="J142" s="19"/>
      <c r="K142" s="6"/>
    </row>
    <row r="143">
      <c r="A143" s="20" t="s">
        <v>277</v>
      </c>
      <c r="B143" s="14" t="s">
        <v>11</v>
      </c>
      <c r="C143" s="15" t="str">
        <f>hyperlink("https://speakerdeck.com/astahre/just-because-you-can-do-something-doesnt-mean-you-should", "presentation")</f>
        <v>presentation</v>
      </c>
      <c r="D143" s="26" t="s">
        <v>278</v>
      </c>
      <c r="E143" s="31" t="str">
        <f>hyperlink("http://twitter.com/intent/user?screen_name=starangel75", "@starangel75")</f>
        <v>@starangel75</v>
      </c>
      <c r="G143" s="31"/>
      <c r="H143" s="14"/>
      <c r="I143" s="18"/>
      <c r="J143" s="19"/>
      <c r="K143" s="6"/>
    </row>
    <row r="144">
      <c r="A144" s="20" t="s">
        <v>279</v>
      </c>
      <c r="B144" s="14" t="s">
        <v>11</v>
      </c>
      <c r="C144" s="15" t="s">
        <v>280</v>
      </c>
      <c r="D144" s="22" t="s">
        <v>281</v>
      </c>
      <c r="E144" s="31" t="str">
        <f>hyperlink("http://twitter.com/intent/user?screen_name=ChrisKeathley", "@ChrisKeathley")</f>
        <v>@ChrisKeathley</v>
      </c>
      <c r="G144" s="7"/>
      <c r="H144" s="19"/>
      <c r="I144" s="25" t="str">
        <f>hyperlink("https://keathley.io/", "blog")</f>
        <v>blog</v>
      </c>
      <c r="J144" s="19"/>
      <c r="K144" s="6"/>
    </row>
    <row r="145">
      <c r="A145" s="20" t="s">
        <v>282</v>
      </c>
      <c r="B145" s="14" t="s">
        <v>11</v>
      </c>
      <c r="C145" s="15" t="s">
        <v>283</v>
      </c>
      <c r="D145" s="29"/>
      <c r="E145" s="7"/>
      <c r="F145" s="7"/>
      <c r="G145" s="7"/>
      <c r="H145" s="14"/>
      <c r="I145" s="18"/>
      <c r="J145" s="19"/>
      <c r="K145" s="6"/>
    </row>
    <row r="146">
      <c r="A146" s="20" t="s">
        <v>284</v>
      </c>
      <c r="B146" s="14" t="s">
        <v>11</v>
      </c>
      <c r="C146" s="19"/>
      <c r="D146" s="22" t="s">
        <v>285</v>
      </c>
      <c r="E146" s="51" t="str">
        <f>HYPERLINK("https://twitter.com/ScottDWeber","@ScottDWeber")</f>
        <v>@ScottDWeber</v>
      </c>
      <c r="G146" s="7"/>
      <c r="H146" s="19"/>
      <c r="I146" s="18"/>
      <c r="J146" s="19"/>
      <c r="K146" s="6"/>
    </row>
    <row r="147">
      <c r="A147" s="20" t="s">
        <v>286</v>
      </c>
      <c r="B147" s="14" t="s">
        <v>11</v>
      </c>
      <c r="C147" s="19"/>
      <c r="D147" s="22" t="s">
        <v>17</v>
      </c>
      <c r="E147" s="49" t="str">
        <f>HYPERLINK("https://twitter.com/SamCorder","@SamCorder")</f>
        <v>@SamCorder</v>
      </c>
      <c r="G147" s="7"/>
      <c r="H147" s="19"/>
      <c r="I147" s="23" t="s">
        <v>287</v>
      </c>
      <c r="J147" s="19"/>
      <c r="K147" s="6"/>
    </row>
    <row r="148">
      <c r="A148" s="20" t="s">
        <v>288</v>
      </c>
      <c r="B148" s="14" t="s">
        <v>11</v>
      </c>
      <c r="C148" s="19"/>
      <c r="D148" s="22" t="s">
        <v>150</v>
      </c>
      <c r="E148" s="31" t="str">
        <f>hyperlink("http://twitter.com/intent/user?screen_name=rob_rich", "@rob_rich")</f>
        <v>@rob_rich</v>
      </c>
      <c r="G148" s="7"/>
      <c r="H148" s="19"/>
      <c r="I148" s="25" t="str">
        <f>hyperlink("https://robrich.org/", "Company Website")</f>
        <v>Company Website</v>
      </c>
      <c r="J148" s="24" t="str">
        <f>hyperlink("https://robrich.org/", "blog")</f>
        <v>blog</v>
      </c>
      <c r="K148" s="6"/>
    </row>
    <row r="149">
      <c r="A149" s="20" t="s">
        <v>289</v>
      </c>
      <c r="B149" s="14" t="s">
        <v>11</v>
      </c>
      <c r="C149" s="15" t="s">
        <v>290</v>
      </c>
      <c r="D149" s="22" t="s">
        <v>291</v>
      </c>
      <c r="E149" s="17" t="str">
        <f>hyperlink("http://twitter.com/intent/user?screen_name=reverentgeek", "@reverentgeek")</f>
        <v>@reverentgeek</v>
      </c>
      <c r="G149" s="26"/>
      <c r="H149" s="14"/>
      <c r="I149" s="23" t="s">
        <v>292</v>
      </c>
      <c r="J149" s="15" t="str">
        <f>hyperlink("https://24days.in/umbraco-cms/2018/doodles-a-learning-and-communication-superpower/", "Doodles-a-learning and Communication Superpower")</f>
        <v>Doodles-a-learning and Communication Superpower</v>
      </c>
      <c r="K149" s="6"/>
      <c r="M149" s="46"/>
    </row>
    <row r="150">
      <c r="A150" s="20" t="s">
        <v>293</v>
      </c>
      <c r="B150" s="14" t="s">
        <v>11</v>
      </c>
      <c r="C150" s="19"/>
      <c r="D150" s="29"/>
      <c r="E150" s="7"/>
      <c r="F150" s="7"/>
      <c r="G150" s="7"/>
      <c r="H150" s="19"/>
      <c r="I150" s="18"/>
      <c r="J150" s="19"/>
      <c r="K150" s="6"/>
    </row>
    <row r="151">
      <c r="A151" s="20" t="s">
        <v>294</v>
      </c>
      <c r="B151" s="14" t="s">
        <v>11</v>
      </c>
      <c r="C151" s="15" t="s">
        <v>295</v>
      </c>
      <c r="D151" s="26" t="s">
        <v>296</v>
      </c>
      <c r="E151" s="31" t="str">
        <f>hyperlink("http://twitter.com/intent/user?screen_name=mamund", "@mamund")</f>
        <v>@mamund</v>
      </c>
      <c r="G151" s="31"/>
      <c r="H151" s="14"/>
      <c r="I151" s="18"/>
      <c r="J151" s="19"/>
      <c r="K151" s="6"/>
    </row>
    <row r="152">
      <c r="A152" s="20" t="s">
        <v>297</v>
      </c>
      <c r="B152" s="14" t="s">
        <v>11</v>
      </c>
      <c r="C152" s="15" t="s">
        <v>298</v>
      </c>
      <c r="D152" s="29"/>
      <c r="E152" s="7"/>
      <c r="F152" s="7"/>
      <c r="G152" s="7"/>
      <c r="H152" s="14"/>
      <c r="I152" s="18"/>
      <c r="J152" s="19"/>
      <c r="K152" s="6"/>
    </row>
    <row r="153">
      <c r="A153" s="20" t="s">
        <v>299</v>
      </c>
      <c r="B153" s="14" t="s">
        <v>11</v>
      </c>
      <c r="C153" s="19"/>
      <c r="D153" s="29"/>
      <c r="E153" s="7"/>
      <c r="F153" s="7"/>
      <c r="G153" s="7"/>
      <c r="H153" s="19"/>
      <c r="I153" s="18"/>
      <c r="J153" s="19"/>
      <c r="K153" s="6"/>
    </row>
    <row r="154">
      <c r="A154" s="20" t="s">
        <v>300</v>
      </c>
      <c r="B154" s="14" t="s">
        <v>11</v>
      </c>
      <c r="C154" s="30"/>
      <c r="D154" s="29"/>
      <c r="E154" s="7"/>
      <c r="F154" s="7"/>
      <c r="G154" s="7"/>
      <c r="H154" s="19"/>
      <c r="I154" s="18"/>
      <c r="J154" s="19"/>
      <c r="K154" s="6"/>
    </row>
    <row r="155">
      <c r="A155" s="20" t="s">
        <v>301</v>
      </c>
      <c r="B155" s="14" t="s">
        <v>11</v>
      </c>
      <c r="C155" s="55" t="str">
        <f>hyperlink("https://drive.google.com/file/d/1h55GOmYfF0OTWSYVoCyJKkncU5YBtlG9/view?usp=sharing", "Google Drive: Presentation")</f>
        <v>Google Drive: Presentation</v>
      </c>
      <c r="D155" s="22" t="s">
        <v>302</v>
      </c>
      <c r="E155" s="17" t="str">
        <f>hyperlink("http://twitter.com/intent/user?screen_name=Ryan_Riddell", "@Ryan_Riddell")</f>
        <v>@Ryan_Riddell</v>
      </c>
      <c r="G155" s="51" t="str">
        <f>HYPERLINK("https://www.linkedin.com/in/ryanriddell/","LinkedIn")</f>
        <v>LinkedIn</v>
      </c>
      <c r="H155" s="19"/>
      <c r="I155" s="18"/>
      <c r="J155" s="19"/>
      <c r="K155" s="6"/>
    </row>
    <row r="156">
      <c r="A156" s="20" t="s">
        <v>303</v>
      </c>
      <c r="B156" s="14" t="s">
        <v>11</v>
      </c>
      <c r="C156" s="19"/>
      <c r="D156" s="29"/>
      <c r="E156" s="7"/>
      <c r="F156" s="7"/>
      <c r="G156" s="7"/>
      <c r="H156" s="19"/>
      <c r="I156" s="18"/>
      <c r="J156" s="19"/>
      <c r="K156" s="6"/>
    </row>
    <row r="157">
      <c r="A157" s="20" t="s">
        <v>304</v>
      </c>
      <c r="B157" s="14" t="s">
        <v>11</v>
      </c>
      <c r="C157" s="19"/>
      <c r="D157" s="29"/>
      <c r="E157" s="7"/>
      <c r="F157" s="7"/>
      <c r="G157" s="7"/>
      <c r="H157" s="19"/>
      <c r="I157" s="18"/>
      <c r="J157" s="19"/>
      <c r="K157" s="6"/>
    </row>
    <row r="158">
      <c r="A158" s="20" t="s">
        <v>305</v>
      </c>
      <c r="B158" s="14" t="s">
        <v>11</v>
      </c>
      <c r="C158" s="19"/>
      <c r="D158" s="22" t="s">
        <v>253</v>
      </c>
      <c r="E158" s="49" t="str">
        <f>HYPERLINK("https://twitter.com/kendallmiller","@kendallmiller")</f>
        <v>@kendallmiller</v>
      </c>
      <c r="G158" s="51" t="str">
        <f>HYPERLINK("https://www.linkedin.com/in/kendallmiller/","LinkedIn")</f>
        <v>LinkedIn</v>
      </c>
      <c r="I158" s="18"/>
      <c r="J158" s="19"/>
      <c r="K158" s="6"/>
    </row>
    <row r="159">
      <c r="A159" s="20" t="s">
        <v>306</v>
      </c>
      <c r="B159" s="14" t="s">
        <v>11</v>
      </c>
      <c r="C159" s="15" t="str">
        <f>hyperlink("https://github.com/JasonBock/Presentations/blob/master/Metaprogramming%20in%20.NET.pptx", "presentation")</f>
        <v>presentation</v>
      </c>
      <c r="D159" s="22" t="s">
        <v>186</v>
      </c>
      <c r="E159" s="17" t="str">
        <f>hyperlink("http://twitter.com/intent/user?screen_name=jasonbock", "@jasonbock")</f>
        <v>@jasonbock</v>
      </c>
      <c r="G159" s="42" t="str">
        <f>hyperlink("https://www.linkedin.com/in/jasonrbock/", "LinkedIn")</f>
        <v>LinkedIn</v>
      </c>
      <c r="H159" s="19"/>
      <c r="I159" s="25" t="str">
        <f>HYPERLINK("https://www.magenic.com/", "Company Website")</f>
        <v>Company Website</v>
      </c>
      <c r="J159" s="24" t="str">
        <f>HYPERLINK("http://jasonbock.net/", "blog")</f>
        <v>blog</v>
      </c>
      <c r="K159" s="6"/>
    </row>
    <row r="160">
      <c r="A160" s="20" t="s">
        <v>307</v>
      </c>
      <c r="B160" s="14" t="s">
        <v>11</v>
      </c>
      <c r="C160" s="15" t="s">
        <v>308</v>
      </c>
      <c r="D160" s="22" t="s">
        <v>309</v>
      </c>
      <c r="E160" s="7"/>
      <c r="F160" s="7"/>
      <c r="G160" s="42" t="str">
        <f>hyperlink("https://www.linkedin.com/in/jeffgbutler/", "LinkedIn")</f>
        <v>LinkedIn</v>
      </c>
      <c r="H160" s="19"/>
      <c r="I160" s="18"/>
      <c r="J160" s="19"/>
      <c r="K160" s="6"/>
    </row>
    <row r="161">
      <c r="A161" s="33" t="s">
        <v>310</v>
      </c>
      <c r="B161" s="14" t="s">
        <v>11</v>
      </c>
      <c r="C161" s="19"/>
      <c r="D161" s="22" t="s">
        <v>311</v>
      </c>
      <c r="E161" s="7"/>
      <c r="F161" s="7"/>
      <c r="G161" s="7"/>
      <c r="H161" s="19"/>
      <c r="I161" s="30"/>
      <c r="J161" s="19"/>
      <c r="K161" s="6"/>
    </row>
    <row r="162">
      <c r="A162" s="20" t="s">
        <v>312</v>
      </c>
      <c r="B162" s="14" t="s">
        <v>11</v>
      </c>
      <c r="C162" s="15" t="s">
        <v>313</v>
      </c>
      <c r="D162" s="26" t="s">
        <v>314</v>
      </c>
      <c r="E162" s="27" t="str">
        <f>hyperlink("http://twitter.com/intent/user?screen_name=itrjwyss", "@itrjwyss")</f>
        <v>@itrjwyss</v>
      </c>
      <c r="G162" s="40"/>
      <c r="H162" s="14"/>
      <c r="I162" s="18"/>
      <c r="J162" s="19"/>
      <c r="K162" s="6"/>
    </row>
    <row r="163">
      <c r="A163" s="20" t="s">
        <v>315</v>
      </c>
      <c r="B163" s="14" t="s">
        <v>11</v>
      </c>
      <c r="C163" s="19"/>
      <c r="D163" s="22" t="s">
        <v>316</v>
      </c>
      <c r="E163" s="51" t="str">
        <f>HYPERLINK("https://twitter.com/j41manning","@j41manning")</f>
        <v>@j41manning</v>
      </c>
      <c r="G163" s="49" t="str">
        <f>HYPERLINK("https://www.linkedin.com/in/j41manning/","LinkedIn")</f>
        <v>LinkedIn</v>
      </c>
      <c r="I163" s="18"/>
      <c r="J163" s="19"/>
      <c r="K163" s="6"/>
    </row>
    <row r="164">
      <c r="A164" s="20" t="s">
        <v>317</v>
      </c>
      <c r="B164" s="14" t="s">
        <v>11</v>
      </c>
      <c r="C164" s="19"/>
      <c r="D164" s="22" t="s">
        <v>318</v>
      </c>
      <c r="E164" s="49" t="str">
        <f>HYPERLINK("https://twitter.com/austinzellner","@austinzellner")</f>
        <v>@austinzellner</v>
      </c>
      <c r="G164" s="51" t="str">
        <f>HYPERLINK("https://www.linkedin.com/in/austin-zellner-b0a8874","LinkedIn")</f>
        <v>LinkedIn</v>
      </c>
      <c r="I164" s="18"/>
      <c r="J164" s="19"/>
      <c r="K164" s="6"/>
    </row>
    <row r="165">
      <c r="A165" s="20" t="s">
        <v>319</v>
      </c>
      <c r="B165" s="14" t="s">
        <v>11</v>
      </c>
      <c r="C165" s="19"/>
      <c r="D165" s="22" t="s">
        <v>320</v>
      </c>
      <c r="E165" s="49" t="str">
        <f>HYPERLINK("https://twitter.com/haroldpulcher","@haroldpulcher")</f>
        <v>@haroldpulcher</v>
      </c>
      <c r="G165" s="49" t="str">
        <f>HYPERLINK("https://www.linkedin.com/in/harold-pulcher-microsoft-mvp-0863881/","LinkedIn")</f>
        <v>LinkedIn</v>
      </c>
      <c r="I165" s="18"/>
      <c r="J165" s="19"/>
      <c r="K165" s="6"/>
    </row>
    <row r="166">
      <c r="A166" s="20" t="s">
        <v>321</v>
      </c>
      <c r="B166" s="14" t="s">
        <v>11</v>
      </c>
      <c r="C166" s="19"/>
      <c r="D166" s="29"/>
      <c r="E166" s="7"/>
      <c r="F166" s="7"/>
      <c r="G166" s="7"/>
      <c r="H166" s="19"/>
      <c r="I166" s="18"/>
      <c r="J166" s="19"/>
      <c r="K166" s="6"/>
    </row>
    <row r="167">
      <c r="A167" s="20" t="s">
        <v>322</v>
      </c>
      <c r="B167" s="14" t="s">
        <v>11</v>
      </c>
      <c r="C167" s="15" t="str">
        <f>hyperlink("https://docs.google.com/presentation/d/1Wb7b-am5f-oRbQ2U5bsAhQRe3zXwO6ILHBX6mgyEzyE/edit", "presentation")</f>
        <v>presentation</v>
      </c>
      <c r="D167" s="22" t="s">
        <v>207</v>
      </c>
      <c r="E167" s="17" t="str">
        <f>hyperlink("http://twitter.com/intent/user?screen_name=ryanbales", "@ryanbales")</f>
        <v>@ryanbales</v>
      </c>
      <c r="G167" s="42" t="str">
        <f>HYPERLINK("https://www.linkedin.com/in/ryanbales/", "LinkedIn")</f>
        <v>LinkedIn</v>
      </c>
      <c r="H167" s="28"/>
      <c r="I167" s="23" t="s">
        <v>323</v>
      </c>
      <c r="J167" s="19"/>
      <c r="K167" s="6"/>
    </row>
    <row r="168">
      <c r="A168" s="20" t="s">
        <v>324</v>
      </c>
      <c r="B168" s="14" t="s">
        <v>11</v>
      </c>
      <c r="C168" s="19"/>
      <c r="D168" s="22" t="s">
        <v>325</v>
      </c>
      <c r="E168" s="7"/>
      <c r="F168" s="7"/>
      <c r="G168" s="7"/>
      <c r="H168" s="19"/>
      <c r="I168" s="18"/>
      <c r="J168" s="19"/>
      <c r="K168" s="6"/>
    </row>
    <row r="169">
      <c r="A169" s="20" t="s">
        <v>326</v>
      </c>
      <c r="B169" s="14" t="s">
        <v>11</v>
      </c>
      <c r="C169" s="19"/>
      <c r="D169" s="29"/>
      <c r="E169" s="7"/>
      <c r="F169" s="7"/>
      <c r="G169" s="7"/>
      <c r="H169" s="30"/>
      <c r="I169" s="18"/>
      <c r="J169" s="19"/>
      <c r="K169" s="6"/>
    </row>
    <row r="170">
      <c r="A170" s="20" t="s">
        <v>327</v>
      </c>
      <c r="B170" s="14" t="s">
        <v>11</v>
      </c>
      <c r="C170" s="19"/>
      <c r="D170" s="29"/>
      <c r="E170" s="7"/>
      <c r="F170" s="7"/>
      <c r="G170" s="7"/>
      <c r="H170" s="19"/>
      <c r="I170" s="18"/>
      <c r="J170" s="19"/>
      <c r="K170" s="6"/>
    </row>
    <row r="171">
      <c r="A171" s="20" t="s">
        <v>328</v>
      </c>
      <c r="B171" s="14" t="s">
        <v>11</v>
      </c>
      <c r="C171" s="19"/>
      <c r="D171" s="29"/>
      <c r="E171" s="7"/>
      <c r="F171" s="7"/>
      <c r="G171" s="7"/>
      <c r="H171" s="19"/>
      <c r="I171" s="18"/>
      <c r="J171" s="19"/>
      <c r="K171" s="6"/>
    </row>
    <row r="172">
      <c r="A172" s="20" t="s">
        <v>329</v>
      </c>
      <c r="B172" s="14" t="s">
        <v>11</v>
      </c>
      <c r="C172" s="19"/>
      <c r="D172" s="22" t="s">
        <v>60</v>
      </c>
      <c r="E172" s="31" t="str">
        <f>hyperlink("http://twitter.com/intent/user?screen_name=gbworld", "@gbworld")</f>
        <v>@gbworld</v>
      </c>
      <c r="G172" s="17" t="str">
        <f>hyperlink("https://www.linkedin.com/in/gregorybeamer/", "LinkedIn")</f>
        <v>LinkedIn</v>
      </c>
      <c r="H172" s="19"/>
      <c r="I172" s="25" t="str">
        <f>hyperlink("http://www.ust-global.com/", "Company Website: UST Global")</f>
        <v>Company Website: UST Global</v>
      </c>
      <c r="J172" s="24" t="str">
        <f>hyperlink("http://gregorybeamer.wordpress.com/", "blog")</f>
        <v>blog</v>
      </c>
      <c r="K172" s="6"/>
    </row>
    <row r="173">
      <c r="A173" s="20" t="s">
        <v>330</v>
      </c>
      <c r="B173" s="14" t="s">
        <v>11</v>
      </c>
      <c r="C173" s="19"/>
      <c r="D173" s="29"/>
      <c r="E173" s="7"/>
      <c r="F173" s="7"/>
      <c r="G173" s="7"/>
      <c r="H173" s="19"/>
      <c r="I173" s="18"/>
      <c r="J173" s="19"/>
      <c r="K173" s="6"/>
    </row>
    <row r="174">
      <c r="A174" s="20" t="s">
        <v>331</v>
      </c>
      <c r="B174" s="14" t="s">
        <v>11</v>
      </c>
      <c r="C174" s="15" t="str">
        <f>HYPERLINK("https://docs.google.com/presentation/d/13ZctjaC89HC1IG78lY7ijyiU4KFQ00BZDR-AN97wAfk/edit", "presentation")</f>
        <v>presentation</v>
      </c>
      <c r="D174" s="22" t="s">
        <v>332</v>
      </c>
      <c r="E174" s="49" t="str">
        <f>HYPERLINK("https://twitter.com/llamaluvr","@llamaluvr")</f>
        <v>@llamaluvr</v>
      </c>
      <c r="G174" s="7"/>
      <c r="H174" s="19"/>
      <c r="I174" s="23" t="s">
        <v>333</v>
      </c>
      <c r="J174" s="19"/>
      <c r="K174" s="6"/>
    </row>
    <row r="175">
      <c r="A175" s="20" t="s">
        <v>334</v>
      </c>
      <c r="B175" s="14" t="s">
        <v>11</v>
      </c>
      <c r="C175" s="15" t="str">
        <f>hyperlink("https://www.dropbox.com/s/dn6d09asew4t61g/React%20The%20Big%20Picture.pptx?dl=0", "presentation")</f>
        <v>presentation</v>
      </c>
      <c r="D175" s="22" t="s">
        <v>335</v>
      </c>
      <c r="E175" s="17" t="str">
        <f>hyperlink("http://twitter.com/intent/user?screen_name=housecor", "@housecor")</f>
        <v>@housecor</v>
      </c>
      <c r="G175" s="26"/>
      <c r="H175" s="14"/>
      <c r="I175" s="18"/>
      <c r="J175" s="19"/>
      <c r="K175" s="6"/>
    </row>
    <row r="176">
      <c r="A176" s="20" t="s">
        <v>336</v>
      </c>
      <c r="B176" s="14" t="s">
        <v>11</v>
      </c>
      <c r="C176" s="15" t="s">
        <v>337</v>
      </c>
      <c r="D176" s="26" t="s">
        <v>338</v>
      </c>
      <c r="E176" s="17" t="str">
        <f>hyperlink("http://twitter.com/intent/user?screen_name=ClayDowling", "@ClayDowling")</f>
        <v>@ClayDowling</v>
      </c>
      <c r="G176" s="26"/>
      <c r="H176" s="14"/>
      <c r="I176" s="18"/>
      <c r="J176" s="19"/>
      <c r="K176" s="6"/>
    </row>
    <row r="177">
      <c r="A177" s="20" t="s">
        <v>339</v>
      </c>
      <c r="B177" s="14" t="s">
        <v>11</v>
      </c>
      <c r="C177" s="19"/>
      <c r="D177" s="22" t="s">
        <v>340</v>
      </c>
      <c r="E177" s="7"/>
      <c r="F177" s="7"/>
      <c r="G177" s="7"/>
      <c r="H177" s="19"/>
      <c r="I177" s="18"/>
      <c r="J177" s="19"/>
      <c r="K177" s="6"/>
    </row>
    <row r="178">
      <c r="A178" s="20" t="s">
        <v>341</v>
      </c>
      <c r="B178" s="14" t="s">
        <v>11</v>
      </c>
      <c r="C178" s="19"/>
      <c r="D178" s="29"/>
      <c r="E178" s="7"/>
      <c r="F178" s="7"/>
      <c r="G178" s="7"/>
      <c r="H178" s="19"/>
      <c r="I178" s="18"/>
      <c r="J178" s="19"/>
      <c r="K178" s="6"/>
    </row>
    <row r="179">
      <c r="A179" s="20" t="s">
        <v>342</v>
      </c>
      <c r="B179" s="14" t="s">
        <v>11</v>
      </c>
      <c r="C179" s="19"/>
      <c r="D179" s="29"/>
      <c r="E179" s="7"/>
      <c r="F179" s="7"/>
      <c r="G179" s="7"/>
      <c r="H179" s="19"/>
      <c r="I179" s="18"/>
      <c r="J179" s="19"/>
      <c r="K179" s="6"/>
    </row>
    <row r="180">
      <c r="A180" s="20" t="s">
        <v>343</v>
      </c>
      <c r="B180" s="14" t="s">
        <v>11</v>
      </c>
      <c r="C180" s="15" t="str">
        <f>hyperlink("https://speakerdeck.com/mwarger/rock-solid-components-with-typescript-and-graphql", "presentation")</f>
        <v>presentation</v>
      </c>
      <c r="D180" s="26" t="s">
        <v>344</v>
      </c>
      <c r="E180" s="31" t="str">
        <f>hyperlink("http://twitter.com/intent/user?screen_name=mwarger", "@mwarger")</f>
        <v>@mwarger</v>
      </c>
      <c r="G180" s="31"/>
      <c r="H180" s="14"/>
      <c r="I180" s="18"/>
      <c r="J180" s="19"/>
      <c r="K180" s="6"/>
    </row>
    <row r="181">
      <c r="A181" s="20" t="s">
        <v>345</v>
      </c>
      <c r="B181" s="14" t="s">
        <v>11</v>
      </c>
      <c r="C181" s="15" t="str">
        <f>hyperlink("https://www.dropbox.com/s/4crbxrrqcot8vo0/Scenario_Testing_For_Teams_CodeMash.pptx?dl=0", "presentation")</f>
        <v>presentation</v>
      </c>
      <c r="D181" s="22" t="s">
        <v>346</v>
      </c>
      <c r="E181" s="49" t="str">
        <f>HYPERLINK("https://twitter.com/sydney_frandsen","@sydney_frandsen")</f>
        <v>@sydney_frandsen</v>
      </c>
      <c r="G181" s="7"/>
      <c r="H181" s="19"/>
      <c r="I181" s="18"/>
      <c r="J181" s="19"/>
      <c r="K181" s="6"/>
    </row>
    <row r="182">
      <c r="A182" s="20" t="s">
        <v>347</v>
      </c>
      <c r="B182" s="14" t="s">
        <v>11</v>
      </c>
      <c r="C182" s="15" t="str">
        <f>hyperlink("https://github.com/spetryjohnson/Securing-Your-API-Endpoints", "presentation")</f>
        <v>presentation</v>
      </c>
      <c r="D182" s="26" t="s">
        <v>348</v>
      </c>
      <c r="E182" s="51" t="str">
        <f>HYPERLINK("https://twitter.com/spetryjohnson?lang=en","@spetryjohnson")</f>
        <v>@spetryjohnson</v>
      </c>
      <c r="G182" s="31"/>
      <c r="H182" s="14"/>
      <c r="I182" s="18"/>
      <c r="J182" s="19"/>
      <c r="K182" s="6"/>
    </row>
    <row r="183">
      <c r="A183" s="20" t="s">
        <v>349</v>
      </c>
      <c r="B183" s="14" t="s">
        <v>11</v>
      </c>
      <c r="C183" s="15" t="str">
        <f>hyperlink("https://www.dropbox.com/s/63br24ykxy5zgz2/Seeking-GraalVM-CM19.pdf?dl=0", "presentation")</f>
        <v>presentation</v>
      </c>
      <c r="D183" s="22" t="s">
        <v>228</v>
      </c>
      <c r="E183" s="17" t="str">
        <f>hyperlink("http://twitter.com/intent/user?screen_name=DavidDLucas", "@DavidDLucas")</f>
        <v>@DavidDLucas</v>
      </c>
      <c r="G183" s="42" t="str">
        <f>hyperlink("https://www.linkedin.com/in/ddlucas", "LinkedIn")</f>
        <v>LinkedIn</v>
      </c>
      <c r="H183" s="19"/>
      <c r="I183" s="18"/>
      <c r="J183" s="19"/>
      <c r="K183" s="6"/>
    </row>
    <row r="184">
      <c r="A184" s="20" t="s">
        <v>350</v>
      </c>
      <c r="B184" s="14" t="s">
        <v>11</v>
      </c>
      <c r="C184" s="19"/>
      <c r="D184" s="22" t="s">
        <v>351</v>
      </c>
      <c r="E184" s="49" t="str">
        <f>HYPERLINK("https://twitter.com/catswetel","@catswetel")</f>
        <v>@catswetel</v>
      </c>
      <c r="G184" s="49" t="str">
        <f>HYPERLINK("https://www.linkedin.com/in/catswetel/","LinkedIn")</f>
        <v>LinkedIn</v>
      </c>
      <c r="I184" s="18"/>
      <c r="J184" s="19"/>
      <c r="K184" s="6"/>
    </row>
    <row r="185">
      <c r="A185" s="20" t="s">
        <v>352</v>
      </c>
      <c r="B185" s="14" t="s">
        <v>11</v>
      </c>
      <c r="C185" s="19"/>
      <c r="D185" s="29"/>
      <c r="E185" s="7"/>
      <c r="F185" s="7"/>
      <c r="G185" s="7"/>
      <c r="H185" s="19"/>
      <c r="I185" s="18"/>
      <c r="J185" s="19"/>
      <c r="K185" s="6"/>
    </row>
    <row r="186">
      <c r="A186" s="20" t="s">
        <v>353</v>
      </c>
      <c r="B186" s="14" t="s">
        <v>11</v>
      </c>
      <c r="C186" s="19"/>
      <c r="D186" s="29"/>
      <c r="E186" s="7"/>
      <c r="F186" s="7"/>
      <c r="G186" s="7"/>
      <c r="H186" s="19"/>
      <c r="I186" s="18"/>
      <c r="J186" s="19"/>
      <c r="K186" s="6"/>
    </row>
    <row r="187">
      <c r="A187" s="20" t="s">
        <v>354</v>
      </c>
      <c r="B187" s="14" t="s">
        <v>11</v>
      </c>
      <c r="C187" s="19"/>
      <c r="D187" s="29"/>
      <c r="E187" s="7"/>
      <c r="F187" s="7"/>
      <c r="G187" s="7"/>
      <c r="H187" s="19"/>
      <c r="I187" s="18"/>
      <c r="J187" s="19"/>
      <c r="K187" s="6"/>
    </row>
    <row r="188">
      <c r="A188" s="20" t="s">
        <v>355</v>
      </c>
      <c r="B188" s="14" t="s">
        <v>11</v>
      </c>
      <c r="C188" s="48" t="str">
        <f>HYPERLINK("https://github.com/jeremydmiller/SucceedingWithAutomatedTestingInDotNet","Repo with slides and code samples")</f>
        <v>Repo with slides and code samples</v>
      </c>
      <c r="D188" s="29"/>
      <c r="E188" s="7"/>
      <c r="F188" s="7"/>
      <c r="G188" s="7"/>
      <c r="H188" s="19"/>
      <c r="I188" s="45" t="str">
        <f>HYPERLINK("https://jeremydmiller.com/2019/01/09/notes-from-the-codemash-2019-automated-testing-w-net-workshop/","Blog page about the talk")</f>
        <v>Blog page about the talk</v>
      </c>
      <c r="J188" s="19"/>
      <c r="K188" s="6"/>
    </row>
    <row r="189">
      <c r="A189" s="20" t="s">
        <v>356</v>
      </c>
      <c r="B189" s="14" t="s">
        <v>11</v>
      </c>
      <c r="C189" s="56" t="s">
        <v>357</v>
      </c>
      <c r="D189" s="22" t="s">
        <v>358</v>
      </c>
      <c r="E189" s="26" t="s">
        <v>359</v>
      </c>
      <c r="G189" s="7"/>
      <c r="H189" s="19"/>
      <c r="I189" s="18"/>
      <c r="J189" s="19"/>
      <c r="K189" s="6"/>
    </row>
    <row r="190">
      <c r="A190" s="20" t="s">
        <v>360</v>
      </c>
      <c r="B190" s="14" t="s">
        <v>11</v>
      </c>
      <c r="C190" s="15" t="s">
        <v>361</v>
      </c>
      <c r="D190" s="22" t="s">
        <v>362</v>
      </c>
      <c r="E190" s="51" t="str">
        <f>HYPERLINK("https://twitter.com/cyrodox","@Cyrodox")</f>
        <v>@Cyrodox</v>
      </c>
      <c r="F190" s="7"/>
      <c r="G190" s="7"/>
      <c r="H190" s="28"/>
      <c r="I190" s="18"/>
      <c r="J190" s="19"/>
      <c r="K190" s="6"/>
    </row>
    <row r="191">
      <c r="A191" s="20" t="s">
        <v>363</v>
      </c>
      <c r="B191" s="14" t="s">
        <v>11</v>
      </c>
      <c r="C191" s="15" t="s">
        <v>364</v>
      </c>
      <c r="D191" s="29"/>
      <c r="E191" s="7"/>
      <c r="F191" s="7"/>
      <c r="G191" s="7"/>
      <c r="H191" s="14"/>
      <c r="I191" s="18"/>
      <c r="J191" s="19"/>
      <c r="K191" s="6"/>
    </row>
    <row r="192">
      <c r="A192" s="20" t="s">
        <v>365</v>
      </c>
      <c r="B192" s="14" t="s">
        <v>11</v>
      </c>
      <c r="C192" s="15" t="s">
        <v>366</v>
      </c>
      <c r="D192" s="29"/>
      <c r="E192" s="7"/>
      <c r="F192" s="7"/>
      <c r="G192" s="57"/>
      <c r="H192" s="28"/>
      <c r="I192" s="18"/>
      <c r="J192" s="19"/>
      <c r="K192" s="6"/>
    </row>
    <row r="193">
      <c r="A193" s="20" t="s">
        <v>367</v>
      </c>
      <c r="B193" s="14" t="s">
        <v>11</v>
      </c>
      <c r="C193" s="15" t="s">
        <v>368</v>
      </c>
      <c r="D193" s="26" t="s">
        <v>369</v>
      </c>
      <c r="E193" s="27" t="str">
        <f>hyperlink("http://twitter.com/intent/user?screen_name=stevegrunwell", "@stevegrunwell")</f>
        <v>@stevegrunwell</v>
      </c>
      <c r="G193" s="40"/>
      <c r="H193" s="28"/>
      <c r="I193" s="18"/>
      <c r="J193" s="19"/>
      <c r="K193" s="6"/>
    </row>
    <row r="194">
      <c r="A194" s="20" t="s">
        <v>370</v>
      </c>
      <c r="B194" s="14" t="s">
        <v>11</v>
      </c>
      <c r="C194" s="15" t="s">
        <v>371</v>
      </c>
      <c r="D194" s="26" t="s">
        <v>372</v>
      </c>
      <c r="E194" s="31" t="str">
        <f>hyperlink("http://twitter.com/intent/user?screen_name=JoeWirtley", "@JoeWirtley")</f>
        <v>@JoeWirtley</v>
      </c>
      <c r="G194" s="31"/>
      <c r="H194" s="28"/>
      <c r="I194" s="18"/>
      <c r="J194" s="19"/>
      <c r="K194" s="6"/>
    </row>
    <row r="195">
      <c r="A195" s="20" t="s">
        <v>373</v>
      </c>
      <c r="B195" s="14" t="s">
        <v>11</v>
      </c>
      <c r="C195" s="19"/>
      <c r="D195" s="29"/>
      <c r="E195" s="7"/>
      <c r="F195" s="7"/>
      <c r="G195" s="7"/>
      <c r="H195" s="19"/>
      <c r="I195" s="18"/>
      <c r="J195" s="19"/>
      <c r="K195" s="6"/>
    </row>
    <row r="196">
      <c r="A196" s="20" t="s">
        <v>374</v>
      </c>
      <c r="B196" s="14" t="s">
        <v>11</v>
      </c>
      <c r="C196" s="15" t="str">
        <f>hyperlink("https://github.com/ryanbooz/Presentations/tree/master/The%20Agile%20DBA%20-%20SQL%20Server%20DevOps%20with%20SSDT", "presentation")</f>
        <v>presentation</v>
      </c>
      <c r="D196" s="26" t="s">
        <v>375</v>
      </c>
      <c r="E196" s="31" t="str">
        <f>hyperlink("http://twitter.com/intent/user?screen_name=ryanbooz", "@ryanbooz")</f>
        <v>@ryanbooz</v>
      </c>
      <c r="G196" s="31"/>
      <c r="H196" s="14"/>
      <c r="I196" s="18"/>
      <c r="J196" s="19"/>
      <c r="K196" s="6"/>
    </row>
    <row r="197">
      <c r="A197" s="20" t="s">
        <v>376</v>
      </c>
      <c r="B197" s="14" t="s">
        <v>11</v>
      </c>
      <c r="C197" s="15" t="s">
        <v>377</v>
      </c>
      <c r="D197" s="22" t="s">
        <v>378</v>
      </c>
      <c r="E197" s="51" t="str">
        <f>HYPERLINK("https://twitter.com/sirius_b","@sirius_b")</f>
        <v>@sirius_b</v>
      </c>
      <c r="G197" s="49" t="str">
        <f>HYPERLINK("https://www.linkedin.com/in/benbykowski/","LinkedIn")</f>
        <v>LinkedIn</v>
      </c>
      <c r="H197" s="19"/>
      <c r="I197" s="18"/>
      <c r="J197" s="19"/>
      <c r="K197" s="6"/>
    </row>
    <row r="198">
      <c r="A198" s="20" t="s">
        <v>379</v>
      </c>
      <c r="B198" s="14" t="s">
        <v>11</v>
      </c>
      <c r="C198" s="19"/>
      <c r="D198" s="29"/>
      <c r="E198" s="7"/>
      <c r="F198" s="7"/>
      <c r="G198" s="7"/>
      <c r="H198" s="19"/>
      <c r="I198" s="18"/>
      <c r="J198" s="19"/>
      <c r="K198" s="6"/>
    </row>
    <row r="199">
      <c r="A199" s="20" t="s">
        <v>380</v>
      </c>
      <c r="B199" s="14" t="s">
        <v>11</v>
      </c>
      <c r="C199" s="19"/>
      <c r="D199" s="22" t="s">
        <v>381</v>
      </c>
      <c r="E199" s="17" t="str">
        <f>hyperlink("http://twitter.com/intent/user?screen_name=willcodeforfoo", "@willcodeforfoo")</f>
        <v>@willcodeforfoo</v>
      </c>
      <c r="G199" s="7"/>
      <c r="H199" s="19"/>
      <c r="I199" s="18"/>
      <c r="J199" s="19"/>
      <c r="K199" s="6"/>
    </row>
    <row r="200">
      <c r="A200" s="20" t="s">
        <v>382</v>
      </c>
      <c r="B200" s="14" t="s">
        <v>11</v>
      </c>
      <c r="C200" s="15" t="str">
        <f>hyperlink("https://www.dropbox.com/sh/j9nurpfexabmqaj/AACUNsNm42D2zD-RlaT0bo7wa/OWASP_Top_Ten_Proactive_Controls_v3_Codemash.pptx?dl=0", "presentation")</f>
        <v>presentation</v>
      </c>
      <c r="D200" s="22" t="s">
        <v>383</v>
      </c>
      <c r="E200" s="17" t="str">
        <f>hyperlink("http://twitter.com/intent/user?screen_name=manicode", "@manicode")</f>
        <v>@manicode</v>
      </c>
      <c r="G200" s="42" t="str">
        <f>hyperlink("https://www.linkedin.com/in/jmanico", "LinkedIn")</f>
        <v>LinkedIn</v>
      </c>
      <c r="I200" s="25" t="str">
        <f>hyperlink("https://manicode.com/", "Company Website")</f>
        <v>Company Website</v>
      </c>
      <c r="J200" s="19"/>
      <c r="K200" s="6"/>
    </row>
    <row r="201">
      <c r="A201" s="20" t="s">
        <v>384</v>
      </c>
      <c r="B201" s="14" t="s">
        <v>11</v>
      </c>
      <c r="C201" s="19"/>
      <c r="D201" s="29"/>
      <c r="E201" s="7"/>
      <c r="F201" s="7"/>
      <c r="G201" s="7"/>
      <c r="H201" s="19"/>
      <c r="I201" s="18"/>
      <c r="J201" s="19"/>
      <c r="K201" s="6"/>
    </row>
    <row r="202">
      <c r="A202" s="20" t="s">
        <v>385</v>
      </c>
      <c r="B202" s="14" t="s">
        <v>11</v>
      </c>
      <c r="C202" s="15" t="str">
        <f>hyperlink("https://www.slideshare.net/mobile/BarryTarlton/pi-python-and-paintball-innovating-with-affordable-tech", "presentation")</f>
        <v>presentation</v>
      </c>
      <c r="D202" s="29"/>
      <c r="E202" s="7"/>
      <c r="F202" s="7"/>
      <c r="G202" s="7"/>
      <c r="H202" s="14"/>
      <c r="I202" s="18"/>
      <c r="J202" s="19"/>
      <c r="K202" s="6"/>
    </row>
    <row r="203">
      <c r="A203" s="20" t="s">
        <v>386</v>
      </c>
      <c r="B203" s="14" t="s">
        <v>11</v>
      </c>
      <c r="C203" s="15" t="str">
        <f>hyperlink("https://onedrive.live.com/redir?resid=D41650F2ECC4AFE6!115177&amp;authkey=!ADWQPSHukQJryAE&amp;ithint=file%2cpptx", "presentation")</f>
        <v>presentation</v>
      </c>
      <c r="D203" s="22" t="s">
        <v>387</v>
      </c>
      <c r="E203" s="17" t="str">
        <f>hyperlink("http://twitter.com/intent/user?screen_name=DustinJEwers", "@DustinJEwers")</f>
        <v>@DustinJEwers</v>
      </c>
      <c r="G203" s="7"/>
      <c r="H203" s="14"/>
      <c r="I203" s="18"/>
      <c r="J203" s="19"/>
      <c r="K203" s="6"/>
    </row>
    <row r="204">
      <c r="A204" s="20" t="s">
        <v>388</v>
      </c>
      <c r="B204" s="14" t="s">
        <v>11</v>
      </c>
      <c r="C204" s="19"/>
      <c r="D204" s="29"/>
      <c r="E204" s="7"/>
      <c r="F204" s="7"/>
      <c r="G204" s="7"/>
      <c r="H204" s="19"/>
      <c r="I204" s="18"/>
      <c r="J204" s="19"/>
      <c r="K204" s="6"/>
    </row>
    <row r="205">
      <c r="A205" s="20" t="s">
        <v>389</v>
      </c>
      <c r="B205" s="14" t="s">
        <v>11</v>
      </c>
      <c r="C205" s="19"/>
      <c r="D205" s="29"/>
      <c r="E205" s="7"/>
      <c r="F205" s="7"/>
      <c r="G205" s="7"/>
      <c r="H205" s="19"/>
      <c r="I205" s="18"/>
      <c r="J205" s="19"/>
      <c r="K205" s="6"/>
    </row>
    <row r="206">
      <c r="A206" s="20" t="s">
        <v>390</v>
      </c>
      <c r="B206" s="14" t="s">
        <v>11</v>
      </c>
      <c r="C206" s="19"/>
      <c r="D206" s="29"/>
      <c r="E206" s="7"/>
      <c r="F206" s="7"/>
      <c r="G206" s="7"/>
      <c r="H206" s="30"/>
      <c r="I206" s="18"/>
      <c r="J206" s="19"/>
      <c r="K206" s="6"/>
    </row>
    <row r="207">
      <c r="A207" s="20" t="s">
        <v>391</v>
      </c>
      <c r="B207" s="14" t="s">
        <v>11</v>
      </c>
      <c r="C207" s="15" t="s">
        <v>392</v>
      </c>
      <c r="D207" s="26" t="s">
        <v>393</v>
      </c>
      <c r="E207" s="31" t="str">
        <f>hyperlink("http://twitter.com/intent/user?screen_name=scottconnerly", "@scottconnerly")</f>
        <v>@scottconnerly</v>
      </c>
      <c r="G207" s="31" t="str">
        <f>hyperlink("https://www.linkedin.com/in/scottconnerly/", "LinkedIn")</f>
        <v>LinkedIn</v>
      </c>
      <c r="H207" s="14"/>
      <c r="I207" s="18"/>
      <c r="J207" s="19"/>
      <c r="K207" s="6"/>
    </row>
    <row r="208">
      <c r="A208" s="20" t="s">
        <v>394</v>
      </c>
      <c r="B208" s="14" t="s">
        <v>11</v>
      </c>
      <c r="C208" s="15" t="s">
        <v>395</v>
      </c>
      <c r="D208" s="29"/>
      <c r="E208" s="7"/>
      <c r="F208" s="7"/>
      <c r="G208" s="7"/>
      <c r="H208" s="14"/>
      <c r="I208" s="18"/>
      <c r="J208" s="19"/>
      <c r="K208" s="6"/>
    </row>
    <row r="209">
      <c r="A209" s="20" t="s">
        <v>396</v>
      </c>
      <c r="B209" s="14" t="s">
        <v>11</v>
      </c>
      <c r="C209" s="19"/>
      <c r="D209" s="22" t="s">
        <v>397</v>
      </c>
      <c r="E209" s="31" t="str">
        <f>hyperlink("http://twitter.com/intent/user?screen_name=roberthurlbut", "@roberthurlbut")</f>
        <v>@roberthurlbut</v>
      </c>
      <c r="G209" s="7"/>
      <c r="H209" s="19"/>
      <c r="I209" s="18"/>
      <c r="J209" s="19"/>
      <c r="K209" s="6"/>
    </row>
    <row r="210">
      <c r="A210" s="20" t="s">
        <v>398</v>
      </c>
      <c r="B210" s="14" t="s">
        <v>11</v>
      </c>
      <c r="C210" s="19"/>
      <c r="D210" s="29"/>
      <c r="E210" s="7"/>
      <c r="F210" s="7"/>
      <c r="G210" s="7"/>
      <c r="H210" s="19"/>
      <c r="I210" s="18"/>
      <c r="J210" s="19"/>
      <c r="K210" s="6"/>
    </row>
    <row r="211">
      <c r="A211" s="20" t="s">
        <v>399</v>
      </c>
      <c r="B211" s="14" t="s">
        <v>11</v>
      </c>
      <c r="C211" s="15" t="str">
        <f>hyperlink("https://exceptionnotfound.net/downloads/slides/CodeMash2019/TimeManagement.pptx", "presentation")</f>
        <v>presentation</v>
      </c>
      <c r="D211" s="26" t="s">
        <v>243</v>
      </c>
      <c r="E211" s="31" t="str">
        <f>hyperlink("http://twitter.com/intent/user?screen_name=ExceptionNotFnd", "@ExceptionNotFnd")</f>
        <v>@ExceptionNotFnd</v>
      </c>
      <c r="G211" s="31"/>
      <c r="H211" s="14"/>
      <c r="I211" s="23" t="s">
        <v>244</v>
      </c>
      <c r="J211" s="19"/>
      <c r="K211" s="6"/>
    </row>
    <row r="212">
      <c r="A212" s="20" t="s">
        <v>400</v>
      </c>
      <c r="B212" s="14" t="s">
        <v>11</v>
      </c>
      <c r="C212" s="15" t="str">
        <f>hyperlink("https://www.slideshare.net/JeffKatz2/towards-a-responsible-internet-of-things", "presentation")</f>
        <v>presentation</v>
      </c>
      <c r="D212" s="26" t="s">
        <v>58</v>
      </c>
      <c r="E212" s="31" t="str">
        <f>hyperlink("http://twitter.com/intent/user?screen_name=kraln", "@kraln")</f>
        <v>@kraln</v>
      </c>
      <c r="G212" s="31"/>
      <c r="H212" s="14"/>
      <c r="I212" s="18"/>
      <c r="J212" s="19"/>
      <c r="K212" s="6"/>
    </row>
    <row r="213">
      <c r="A213" s="20" t="s">
        <v>401</v>
      </c>
      <c r="B213" s="14" t="s">
        <v>11</v>
      </c>
      <c r="C213" s="19"/>
      <c r="D213" s="29"/>
      <c r="E213" s="7"/>
      <c r="F213" s="7"/>
      <c r="G213" s="7"/>
      <c r="H213" s="19"/>
      <c r="I213" s="18"/>
      <c r="J213" s="19"/>
      <c r="K213" s="6"/>
    </row>
    <row r="214">
      <c r="A214" s="20" t="s">
        <v>402</v>
      </c>
      <c r="B214" s="14" t="s">
        <v>11</v>
      </c>
      <c r="C214" s="15" t="str">
        <f>hyperlink("https://github.com/spetryjohnson/Talk---UI-Tests-Are-Fun-To-Write", "presentation")</f>
        <v>presentation</v>
      </c>
      <c r="D214" s="58" t="s">
        <v>403</v>
      </c>
      <c r="E214" s="51" t="str">
        <f>HYPERLINK("https://twitter.com/spetryjohnson?lang=en","@spetryjohnson")</f>
        <v>@spetryjohnson</v>
      </c>
      <c r="G214" s="7"/>
      <c r="H214" s="14"/>
      <c r="I214" s="18"/>
      <c r="J214" s="19"/>
      <c r="K214" s="6"/>
    </row>
    <row r="215">
      <c r="A215" s="20" t="s">
        <v>404</v>
      </c>
      <c r="B215" s="14" t="s">
        <v>11</v>
      </c>
      <c r="C215" s="19"/>
      <c r="D215" s="22" t="s">
        <v>405</v>
      </c>
      <c r="E215" s="49" t="str">
        <f>HYPERLINK("https://twitter.com/waltritscher","@waltritscher")</f>
        <v>@waltritscher</v>
      </c>
      <c r="G215" s="49" t="str">
        <f>HYPERLINK("https://www.linkedin.com/in/waltritscher/","LinkedIn")</f>
        <v>LinkedIn</v>
      </c>
      <c r="I215" s="23" t="s">
        <v>406</v>
      </c>
      <c r="J215" s="19"/>
      <c r="K215" s="6"/>
    </row>
    <row r="216">
      <c r="A216" s="20" t="s">
        <v>407</v>
      </c>
      <c r="B216" s="14" t="s">
        <v>11</v>
      </c>
      <c r="C216" s="15" t="str">
        <f>hyperlink("https://github.com/lindseywild/sass-unit-testing-presentation", "presentation")</f>
        <v>presentation</v>
      </c>
      <c r="D216" s="26" t="s">
        <v>408</v>
      </c>
      <c r="E216" s="31" t="str">
        <f>hyperlink("http://twitter.com/intent/user?screen_name=stananick", "@stananick")</f>
        <v>@stananick</v>
      </c>
      <c r="G216" s="31"/>
      <c r="H216" s="14"/>
      <c r="I216" s="18"/>
      <c r="J216" s="19"/>
      <c r="K216" s="6"/>
    </row>
    <row r="217">
      <c r="A217" s="20" t="s">
        <v>409</v>
      </c>
      <c r="B217" s="14" t="s">
        <v>11</v>
      </c>
      <c r="C217" s="19"/>
      <c r="D217" s="29"/>
      <c r="E217" s="7"/>
      <c r="F217" s="7"/>
      <c r="G217" s="7"/>
      <c r="H217" s="19"/>
      <c r="I217" s="18"/>
      <c r="J217" s="19"/>
      <c r="K217" s="6"/>
    </row>
    <row r="218">
      <c r="A218" s="20" t="s">
        <v>410</v>
      </c>
      <c r="B218" s="14" t="s">
        <v>11</v>
      </c>
      <c r="C218" s="19"/>
      <c r="D218" s="22" t="s">
        <v>133</v>
      </c>
      <c r="E218" s="31" t="str">
        <f>hyperlink("http://twitter.com/intent/user?screen_name=gmjordan", "@gmjordan")</f>
        <v>@gmjordan</v>
      </c>
      <c r="G218" s="17" t="str">
        <f>hyperlink("https://www.linkedin.com/in/gmjordan", "LinkedIn")</f>
        <v>LinkedIn</v>
      </c>
      <c r="H218" s="19"/>
      <c r="I218" s="25" t="str">
        <f>hyperlink("https://www.graphstory.com/", "Company Website")</f>
        <v>Company Website</v>
      </c>
      <c r="J218" s="19"/>
      <c r="K218" s="6"/>
    </row>
    <row r="219">
      <c r="A219" s="20" t="s">
        <v>411</v>
      </c>
      <c r="B219" s="14" t="s">
        <v>11</v>
      </c>
      <c r="C219" s="15" t="str">
        <f>hyperlink("https://roberthurlbut.com/Resources/2019/CodeMash/Robert-Hurlbut-CodeMash2019-User-Story-Threat-Modeling-20190910.pdf", "presentation")</f>
        <v>presentation</v>
      </c>
      <c r="D219" s="26" t="s">
        <v>412</v>
      </c>
      <c r="E219" s="31" t="str">
        <f>hyperlink("http://twitter.com/intent/user?screen_name=roberthurlbut", "@roberthurlbut")</f>
        <v>@roberthurlbut</v>
      </c>
      <c r="G219" s="31"/>
      <c r="H219" s="14"/>
      <c r="I219" s="18"/>
      <c r="J219" s="19"/>
      <c r="K219" s="6"/>
    </row>
    <row r="220">
      <c r="A220" s="20" t="s">
        <v>413</v>
      </c>
      <c r="B220" s="14" t="s">
        <v>11</v>
      </c>
      <c r="C220" s="19"/>
      <c r="D220" s="22" t="s">
        <v>414</v>
      </c>
      <c r="E220" s="51" t="str">
        <f>hyperlink("http://twitter.com/intent/user?screen_name=jonskeet", "@jonskeet")</f>
        <v>@jonskeet</v>
      </c>
      <c r="G220" s="7"/>
      <c r="H220" s="19"/>
      <c r="I220" s="23" t="s">
        <v>415</v>
      </c>
      <c r="J220" s="19"/>
      <c r="K220" s="6"/>
    </row>
    <row r="221">
      <c r="A221" s="20" t="s">
        <v>416</v>
      </c>
      <c r="B221" s="14" t="s">
        <v>11</v>
      </c>
      <c r="C221" s="19"/>
      <c r="D221" s="29"/>
      <c r="E221" s="7"/>
      <c r="F221" s="7"/>
      <c r="G221" s="7"/>
      <c r="H221" s="19"/>
      <c r="I221" s="18"/>
      <c r="J221" s="19"/>
      <c r="K221" s="6"/>
    </row>
    <row r="222">
      <c r="A222" s="20" t="s">
        <v>417</v>
      </c>
      <c r="B222" s="14" t="s">
        <v>11</v>
      </c>
      <c r="C222" s="19"/>
      <c r="D222" s="29"/>
      <c r="E222" s="7"/>
      <c r="F222" s="7"/>
      <c r="G222" s="7"/>
      <c r="H222" s="30"/>
      <c r="I222" s="18"/>
      <c r="J222" s="19"/>
      <c r="K222" s="6"/>
    </row>
    <row r="223">
      <c r="A223" s="20" t="s">
        <v>418</v>
      </c>
      <c r="B223" s="14" t="s">
        <v>11</v>
      </c>
      <c r="C223" s="19"/>
      <c r="D223" s="29"/>
      <c r="E223" s="7"/>
      <c r="F223" s="7"/>
      <c r="G223" s="7"/>
      <c r="H223" s="19"/>
      <c r="I223" s="18"/>
      <c r="J223" s="19"/>
      <c r="K223" s="6"/>
    </row>
    <row r="224">
      <c r="A224" s="20" t="s">
        <v>419</v>
      </c>
      <c r="B224" s="14" t="s">
        <v>11</v>
      </c>
      <c r="C224" s="15" t="str">
        <f>hyperlink("https://github.com/weaverryan/codemash-encore/blob/master/codemash.2018.encore.pdf", "presentation")</f>
        <v>presentation</v>
      </c>
      <c r="D224" s="22" t="s">
        <v>420</v>
      </c>
      <c r="E224" s="26" t="s">
        <v>421</v>
      </c>
      <c r="F224" s="7"/>
      <c r="G224" s="7"/>
      <c r="H224" s="19"/>
      <c r="I224" s="18"/>
      <c r="J224" s="19"/>
      <c r="K224" s="6"/>
    </row>
    <row r="225">
      <c r="A225" s="20" t="s">
        <v>422</v>
      </c>
      <c r="B225" s="14" t="s">
        <v>11</v>
      </c>
      <c r="C225" s="15" t="str">
        <f>hyperlink("https://drive.google.com/file/d/0B46F2fwAtINXdTZjMW5WcHhSOGMyMlN3RGdHS3RHOVMxZzY0/view?usp=drivesdk", "presentation")</f>
        <v>presentation</v>
      </c>
      <c r="D225" s="26" t="s">
        <v>423</v>
      </c>
      <c r="E225" s="31" t="str">
        <f>hyperlink("http://twitter.com/intent/user?screen_name=rkoutnik", "@rkoutnik")</f>
        <v>@rkoutnik</v>
      </c>
      <c r="G225" s="31"/>
      <c r="H225" s="14"/>
      <c r="I225" s="18"/>
      <c r="J225" s="19"/>
      <c r="K225" s="6"/>
    </row>
    <row r="226">
      <c r="A226" s="59" t="s">
        <v>424</v>
      </c>
      <c r="B226" s="60" t="s">
        <v>11</v>
      </c>
      <c r="C226" s="61" t="str">
        <f>hyperlink("https://www.slideshare.net/petdance/what-every-beginning-developer-should-know", "presentation")</f>
        <v>presentation</v>
      </c>
      <c r="D226" s="62" t="s">
        <v>19</v>
      </c>
      <c r="E226" s="63" t="str">
        <f>hyperlink("http://twitter.com/intent/user?screen_name=petdance", "@petdance")</f>
        <v>@petdance</v>
      </c>
      <c r="G226" s="64"/>
      <c r="H226" s="65"/>
      <c r="I226" s="66"/>
      <c r="J226" s="65"/>
      <c r="K226" s="65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  <c r="AC226" s="64"/>
      <c r="AD226" s="64"/>
      <c r="AE226" s="64"/>
    </row>
    <row r="227">
      <c r="A227" s="20" t="s">
        <v>425</v>
      </c>
      <c r="B227" s="14" t="s">
        <v>11</v>
      </c>
      <c r="C227" s="19"/>
      <c r="D227" s="29"/>
      <c r="E227" s="7"/>
      <c r="F227" s="7"/>
      <c r="G227" s="7"/>
      <c r="H227" s="30"/>
      <c r="I227" s="18"/>
      <c r="J227" s="19"/>
      <c r="K227" s="6"/>
    </row>
    <row r="228">
      <c r="A228" s="20" t="s">
        <v>426</v>
      </c>
      <c r="B228" s="14" t="s">
        <v>11</v>
      </c>
      <c r="C228" s="19"/>
      <c r="D228" s="29"/>
      <c r="E228" s="7"/>
      <c r="F228" s="7"/>
      <c r="G228" s="7"/>
      <c r="H228" s="30"/>
      <c r="I228" s="18"/>
      <c r="J228" s="19"/>
      <c r="K228" s="6"/>
    </row>
    <row r="229">
      <c r="A229" s="13" t="str">
        <f>hyperlink(C229, "Why are we talking about XSS in 2019?")</f>
        <v>Why are we talking about XSS in 2019?</v>
      </c>
      <c r="B229" s="14" t="s">
        <v>11</v>
      </c>
      <c r="C229" s="15" t="str">
        <f>hyperlink("https://www.dropbox.com/sh/j9nurpfexabmqaj/AADwy0iqDa2IsAqc40KljmO_a/The%20Last%20XSS%20Defense%20Talk%20-%20Codemash.pptx?dl=0", "presentation")</f>
        <v>presentation</v>
      </c>
      <c r="D229" s="22" t="s">
        <v>383</v>
      </c>
      <c r="E229" s="17" t="str">
        <f>hyperlink("http://twitter.com/intent/user?screen_name=manicode", "@manicode")</f>
        <v>@manicode</v>
      </c>
      <c r="G229" s="42" t="str">
        <f>hyperlink("https://www.linkedin.com/in/jmanico", "LinkedIn")</f>
        <v>LinkedIn</v>
      </c>
      <c r="I229" s="25" t="str">
        <f>hyperlink("https://manicode.com/", "Company Website")</f>
        <v>Company Website</v>
      </c>
      <c r="J229" s="19"/>
      <c r="K229" s="6"/>
    </row>
    <row r="230">
      <c r="A230" s="20" t="s">
        <v>427</v>
      </c>
      <c r="B230" s="14" t="s">
        <v>11</v>
      </c>
      <c r="C230" s="19"/>
      <c r="D230" s="22" t="s">
        <v>428</v>
      </c>
      <c r="E230" s="51" t="str">
        <f>HYPERLINK("https://twitter.com/edsnider","@edsnider")</f>
        <v>@edsnider</v>
      </c>
      <c r="G230" s="7"/>
      <c r="H230" s="19"/>
      <c r="I230" s="23" t="s">
        <v>429</v>
      </c>
      <c r="J230" s="19"/>
      <c r="K230" s="6"/>
    </row>
    <row r="231">
      <c r="A231" s="67" t="s">
        <v>430</v>
      </c>
      <c r="B231" s="14" t="s">
        <v>11</v>
      </c>
      <c r="C231" s="18"/>
      <c r="D231" s="22" t="s">
        <v>431</v>
      </c>
      <c r="E231" s="49" t="str">
        <f>HYPERLINK("https://twitter.com/jesseliberty","@jesseliberty")</f>
        <v>@jesseliberty</v>
      </c>
      <c r="G231" s="7"/>
      <c r="H231" s="19"/>
      <c r="I231" s="23" t="s">
        <v>432</v>
      </c>
      <c r="J231" s="19"/>
      <c r="K231" s="6"/>
    </row>
    <row r="232">
      <c r="A232" s="20" t="s">
        <v>433</v>
      </c>
      <c r="B232" s="14" t="s">
        <v>11</v>
      </c>
      <c r="C232" s="18"/>
      <c r="D232" s="22" t="s">
        <v>41</v>
      </c>
      <c r="E232" s="17" t="str">
        <f>hyperlink("http://twitter.com/intent/user?screen_name=epsilon11", "@epsilon11")</f>
        <v>@epsilon11</v>
      </c>
      <c r="G232" s="17" t="str">
        <f>hyperlink("https://www.linkedin.com/in/rajsubra/", "LinkedIn")</f>
        <v>LinkedIn</v>
      </c>
      <c r="H232" s="19"/>
      <c r="I232" s="25" t="str">
        <f>hyperlink("https://www.testim.io/", "Company Website: Testim")</f>
        <v>Company Website: Testim</v>
      </c>
      <c r="J232" s="24" t="str">
        <f>hyperlink("http://www.rajsubra.com/category/testing/", "blog")</f>
        <v>blog</v>
      </c>
      <c r="K232" s="6"/>
    </row>
    <row r="233">
      <c r="A233" s="67" t="s">
        <v>434</v>
      </c>
      <c r="B233" s="14" t="s">
        <v>11</v>
      </c>
      <c r="C233" s="30"/>
      <c r="D233" s="29"/>
      <c r="E233" s="7"/>
      <c r="F233" s="7"/>
      <c r="G233" s="7"/>
      <c r="H233" s="30"/>
      <c r="I233" s="18"/>
      <c r="J233" s="30"/>
      <c r="K233" s="6"/>
    </row>
  </sheetData>
  <customSheetViews>
    <customSheetView guid="{DB363BE0-B4FC-464D-9E52-27196FE71575}" filter="1" showAutoFilter="1">
      <autoFilter ref="$B$3:$B$233"/>
    </customSheetView>
  </customSheetViews>
  <mergeCells count="171">
    <mergeCell ref="E49:F49"/>
    <mergeCell ref="E48:F48"/>
    <mergeCell ref="E57:F57"/>
    <mergeCell ref="G122:H122"/>
    <mergeCell ref="G126:H126"/>
    <mergeCell ref="E119:F119"/>
    <mergeCell ref="E116:F116"/>
    <mergeCell ref="E126:F126"/>
    <mergeCell ref="E114:F114"/>
    <mergeCell ref="E113:F113"/>
    <mergeCell ref="E79:F79"/>
    <mergeCell ref="E82:F82"/>
    <mergeCell ref="E75:F75"/>
    <mergeCell ref="E76:F76"/>
    <mergeCell ref="E77:F77"/>
    <mergeCell ref="E88:F88"/>
    <mergeCell ref="E89:F89"/>
    <mergeCell ref="E74:F74"/>
    <mergeCell ref="E83:F83"/>
    <mergeCell ref="E44:F44"/>
    <mergeCell ref="E43:F43"/>
    <mergeCell ref="E45:F45"/>
    <mergeCell ref="E46:F46"/>
    <mergeCell ref="E107:F107"/>
    <mergeCell ref="E106:F106"/>
    <mergeCell ref="E90:F90"/>
    <mergeCell ref="E92:F92"/>
    <mergeCell ref="E91:F91"/>
    <mergeCell ref="E105:F105"/>
    <mergeCell ref="E102:F102"/>
    <mergeCell ref="E109:F109"/>
    <mergeCell ref="E108:F108"/>
    <mergeCell ref="E122:F122"/>
    <mergeCell ref="E121:F121"/>
    <mergeCell ref="E128:F128"/>
    <mergeCell ref="E101:F101"/>
    <mergeCell ref="E111:F111"/>
    <mergeCell ref="E110:F110"/>
    <mergeCell ref="E103:F103"/>
    <mergeCell ref="E104:F104"/>
    <mergeCell ref="E99:F99"/>
    <mergeCell ref="E100:F100"/>
    <mergeCell ref="A1:A2"/>
    <mergeCell ref="B1:B2"/>
    <mergeCell ref="C1:C2"/>
    <mergeCell ref="E27:F27"/>
    <mergeCell ref="E30:F30"/>
    <mergeCell ref="E39:F39"/>
    <mergeCell ref="E17:F17"/>
    <mergeCell ref="E41:F41"/>
    <mergeCell ref="E40:F40"/>
    <mergeCell ref="E134:F134"/>
    <mergeCell ref="E133:F133"/>
    <mergeCell ref="E131:F131"/>
    <mergeCell ref="E80:F80"/>
    <mergeCell ref="E81:F81"/>
    <mergeCell ref="E98:F98"/>
    <mergeCell ref="E97:F97"/>
    <mergeCell ref="E95:F95"/>
    <mergeCell ref="E85:F85"/>
    <mergeCell ref="E94:F94"/>
    <mergeCell ref="E93:F93"/>
    <mergeCell ref="E84:F84"/>
    <mergeCell ref="E215:F215"/>
    <mergeCell ref="E219:F219"/>
    <mergeCell ref="E218:F218"/>
    <mergeCell ref="E216:F216"/>
    <mergeCell ref="E232:F232"/>
    <mergeCell ref="E230:F230"/>
    <mergeCell ref="E231:F231"/>
    <mergeCell ref="G215:H215"/>
    <mergeCell ref="E211:F211"/>
    <mergeCell ref="G229:H229"/>
    <mergeCell ref="E220:F220"/>
    <mergeCell ref="E165:F165"/>
    <mergeCell ref="E167:F167"/>
    <mergeCell ref="E162:F162"/>
    <mergeCell ref="E163:F163"/>
    <mergeCell ref="E149:F149"/>
    <mergeCell ref="E151:F151"/>
    <mergeCell ref="E155:F155"/>
    <mergeCell ref="E158:F158"/>
    <mergeCell ref="G158:H158"/>
    <mergeCell ref="E182:F182"/>
    <mergeCell ref="G184:H184"/>
    <mergeCell ref="E184:F184"/>
    <mergeCell ref="E183:F183"/>
    <mergeCell ref="G165:H165"/>
    <mergeCell ref="E164:F164"/>
    <mergeCell ref="E159:F159"/>
    <mergeCell ref="E146:F146"/>
    <mergeCell ref="E147:F147"/>
    <mergeCell ref="E148:F148"/>
    <mergeCell ref="E136:F136"/>
    <mergeCell ref="E143:F143"/>
    <mergeCell ref="E144:F144"/>
    <mergeCell ref="E141:F141"/>
    <mergeCell ref="E214:F214"/>
    <mergeCell ref="E212:F212"/>
    <mergeCell ref="E209:F209"/>
    <mergeCell ref="E207:F207"/>
    <mergeCell ref="E203:F203"/>
    <mergeCell ref="E229:F229"/>
    <mergeCell ref="E225:F225"/>
    <mergeCell ref="E226:F226"/>
    <mergeCell ref="E197:F197"/>
    <mergeCell ref="E200:F200"/>
    <mergeCell ref="E199:F199"/>
    <mergeCell ref="G200:H200"/>
    <mergeCell ref="E193:F193"/>
    <mergeCell ref="E194:F194"/>
    <mergeCell ref="E181:F181"/>
    <mergeCell ref="E172:F172"/>
    <mergeCell ref="E196:F196"/>
    <mergeCell ref="E175:F175"/>
    <mergeCell ref="E174:F174"/>
    <mergeCell ref="E180:F180"/>
    <mergeCell ref="E176:F176"/>
    <mergeCell ref="E189:F189"/>
    <mergeCell ref="G164:H164"/>
    <mergeCell ref="G163:H163"/>
    <mergeCell ref="E54:F54"/>
    <mergeCell ref="E50:F50"/>
    <mergeCell ref="E51:F51"/>
    <mergeCell ref="E53:F53"/>
    <mergeCell ref="E52:F52"/>
    <mergeCell ref="E42:F42"/>
    <mergeCell ref="E69:F69"/>
    <mergeCell ref="E55:F55"/>
    <mergeCell ref="E63:F63"/>
    <mergeCell ref="E64:F64"/>
    <mergeCell ref="E65:F65"/>
    <mergeCell ref="E67:F67"/>
    <mergeCell ref="E31:F31"/>
    <mergeCell ref="E25:F25"/>
    <mergeCell ref="E26:F26"/>
    <mergeCell ref="E36:F36"/>
    <mergeCell ref="E37:F37"/>
    <mergeCell ref="E18:F18"/>
    <mergeCell ref="I1:K1"/>
    <mergeCell ref="D1:G1"/>
    <mergeCell ref="I2:K2"/>
    <mergeCell ref="E5:F5"/>
    <mergeCell ref="E6:F6"/>
    <mergeCell ref="E8:F8"/>
    <mergeCell ref="E7:F7"/>
    <mergeCell ref="E10:F10"/>
    <mergeCell ref="E9:F9"/>
    <mergeCell ref="E33:F33"/>
    <mergeCell ref="E34:F34"/>
    <mergeCell ref="E35:F35"/>
    <mergeCell ref="E32:F32"/>
    <mergeCell ref="E15:F15"/>
    <mergeCell ref="E11:F11"/>
    <mergeCell ref="E14:F14"/>
    <mergeCell ref="E13:F13"/>
    <mergeCell ref="E12:F12"/>
    <mergeCell ref="E19:F19"/>
    <mergeCell ref="E22:F22"/>
    <mergeCell ref="E20:F20"/>
    <mergeCell ref="G2:H2"/>
    <mergeCell ref="E2:F2"/>
    <mergeCell ref="E58:F58"/>
    <mergeCell ref="E59:F59"/>
    <mergeCell ref="E72:F72"/>
    <mergeCell ref="E71:F71"/>
    <mergeCell ref="E66:F66"/>
    <mergeCell ref="E68:F68"/>
    <mergeCell ref="E60:F60"/>
    <mergeCell ref="E61:F61"/>
    <mergeCell ref="E62:F62"/>
  </mergeCells>
  <hyperlinks>
    <hyperlink r:id="rId1" ref="I6"/>
    <hyperlink r:id="rId2" ref="C9"/>
    <hyperlink r:id="rId3" ref="D10"/>
    <hyperlink r:id="rId4" ref="D11"/>
    <hyperlink r:id="rId5" ref="C12"/>
    <hyperlink r:id="rId6" ref="I12"/>
    <hyperlink r:id="rId7" ref="C13"/>
    <hyperlink r:id="rId8" ref="I13"/>
    <hyperlink r:id="rId9" ref="I20"/>
    <hyperlink r:id="rId10" ref="C30"/>
    <hyperlink r:id="rId11" ref="I31"/>
    <hyperlink r:id="rId12" ref="J31"/>
    <hyperlink r:id="rId13" ref="C33"/>
    <hyperlink r:id="rId14" ref="D33"/>
    <hyperlink r:id="rId15" ref="C34"/>
    <hyperlink r:id="rId16" ref="D34"/>
    <hyperlink r:id="rId17" location="/" ref="C38"/>
    <hyperlink r:id="rId18" ref="D39"/>
    <hyperlink r:id="rId19" ref="D40"/>
    <hyperlink r:id="rId20" ref="D43"/>
    <hyperlink r:id="rId21" ref="I43"/>
    <hyperlink r:id="rId22" ref="D52"/>
    <hyperlink r:id="rId23" location="/" ref="C60"/>
    <hyperlink r:id="rId24" ref="C69"/>
    <hyperlink r:id="rId25" ref="J69"/>
    <hyperlink r:id="rId26" ref="D81"/>
    <hyperlink r:id="rId27" ref="C96"/>
    <hyperlink r:id="rId28" ref="C100"/>
    <hyperlink r:id="rId29" ref="C107"/>
    <hyperlink r:id="rId30" location="/" ref="C110"/>
    <hyperlink r:id="rId31" ref="D110"/>
    <hyperlink r:id="rId32" ref="I110"/>
    <hyperlink r:id="rId33" ref="C114"/>
    <hyperlink r:id="rId34" ref="C116"/>
    <hyperlink r:id="rId35" ref="I121"/>
    <hyperlink r:id="rId36" ref="I122"/>
    <hyperlink r:id="rId37" ref="J122"/>
    <hyperlink r:id="rId38" ref="D138"/>
    <hyperlink r:id="rId39" ref="C141"/>
    <hyperlink r:id="rId40" ref="C144"/>
    <hyperlink r:id="rId41" ref="C145"/>
    <hyperlink r:id="rId42" ref="I147"/>
    <hyperlink r:id="rId43" ref="C149"/>
    <hyperlink r:id="rId44" ref="I149"/>
    <hyperlink r:id="rId45" ref="C151"/>
    <hyperlink r:id="rId46" ref="C152"/>
    <hyperlink r:id="rId47" ref="C160"/>
    <hyperlink r:id="rId48" ref="A161"/>
    <hyperlink r:id="rId49" ref="C162"/>
    <hyperlink r:id="rId50" ref="I167"/>
    <hyperlink r:id="rId51" ref="I174"/>
    <hyperlink r:id="rId52" location="/" ref="C176"/>
    <hyperlink r:id="rId53" location="/" ref="C189"/>
    <hyperlink r:id="rId54" ref="C190"/>
    <hyperlink r:id="rId55" ref="D190"/>
    <hyperlink r:id="rId56" ref="C191"/>
    <hyperlink r:id="rId57" location="/" ref="C192"/>
    <hyperlink r:id="rId58" location="readme" ref="C193"/>
    <hyperlink r:id="rId59" ref="C194"/>
    <hyperlink r:id="rId60" ref="C197"/>
    <hyperlink r:id="rId61" ref="C207"/>
    <hyperlink r:id="rId62" ref="C208"/>
    <hyperlink r:id="rId63" ref="D209"/>
    <hyperlink r:id="rId64" ref="I211"/>
    <hyperlink r:id="rId65" ref="I215"/>
    <hyperlink r:id="rId66" ref="I220"/>
    <hyperlink r:id="rId67" ref="I230"/>
    <hyperlink r:id="rId68" ref="I231"/>
  </hyperlinks>
  <drawing r:id="rId6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1" t="s">
        <v>1</v>
      </c>
    </row>
  </sheetData>
  <hyperlinks>
    <hyperlink r:id="rId1" ref="A1"/>
    <hyperlink r:id="rId2" ref="A2"/>
  </hyperlinks>
  <drawing r:id="rId3"/>
</worksheet>
</file>