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8727A868-6EEC-4B7C-9346-5BCF6D4B8BBB}" xr6:coauthVersionLast="40" xr6:coauthVersionMax="40" xr10:uidLastSave="{00000000-0000-0000-0000-000000000000}"/>
  <bookViews>
    <workbookView xWindow="120" yWindow="150" windowWidth="24915" windowHeight="12075" firstSheet="4" activeTab="11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4а" sheetId="5" r:id="rId5"/>
    <sheet name="Лист5" sheetId="6" r:id="rId6"/>
    <sheet name="Лист5а" sheetId="7" r:id="rId7"/>
    <sheet name="Лист6" sheetId="8" r:id="rId8"/>
    <sheet name="Лист7" sheetId="9" r:id="rId9"/>
    <sheet name="Лист7а" sheetId="10" r:id="rId10"/>
    <sheet name="Лист8" sheetId="11" r:id="rId11"/>
    <sheet name="Лист9" sheetId="12" r:id="rId12"/>
  </sheets>
  <definedNames>
    <definedName name="В_браке">Лист6!$B$4:$E$11</definedName>
    <definedName name="Холост">Лист6!$B$15:$E$22</definedName>
  </definedNames>
  <calcPr calcId="191029"/>
</workbook>
</file>

<file path=xl/calcChain.xml><?xml version="1.0" encoding="utf-8"?>
<calcChain xmlns="http://schemas.openxmlformats.org/spreadsheetml/2006/main">
  <c r="G6" i="12" l="1"/>
  <c r="D12" i="7" l="1"/>
  <c r="D14" i="7"/>
  <c r="D15" i="7" s="1"/>
  <c r="D16" i="7" s="1"/>
  <c r="D30" i="8"/>
  <c r="D4" i="5" l="1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I3" i="5"/>
  <c r="H20" i="5"/>
  <c r="G5" i="2"/>
  <c r="M7" i="1"/>
  <c r="F6" i="12" l="1"/>
  <c r="H8" i="11" l="1"/>
  <c r="H7" i="11"/>
  <c r="F10" i="10"/>
  <c r="E10" i="10"/>
  <c r="D10" i="10"/>
  <c r="C10" i="10"/>
  <c r="G9" i="10"/>
  <c r="G8" i="10"/>
  <c r="C15" i="10" s="1"/>
  <c r="G7" i="10"/>
  <c r="G6" i="10"/>
  <c r="G5" i="10"/>
  <c r="G4" i="10"/>
  <c r="G5" i="9"/>
  <c r="G6" i="9"/>
  <c r="G7" i="9"/>
  <c r="G8" i="9"/>
  <c r="G10" i="9" s="1"/>
  <c r="G9" i="9"/>
  <c r="G4" i="9"/>
  <c r="D10" i="9"/>
  <c r="E10" i="9"/>
  <c r="F10" i="9"/>
  <c r="C10" i="9"/>
  <c r="C15" i="9"/>
  <c r="G10" i="10" l="1"/>
  <c r="D26" i="8"/>
  <c r="D28" i="8"/>
  <c r="D12" i="6"/>
  <c r="D14" i="6"/>
  <c r="D18" i="7" l="1"/>
  <c r="D15" i="6"/>
  <c r="D16" i="6" s="1"/>
  <c r="D29" i="8"/>
  <c r="D22" i="4" l="1"/>
  <c r="D10" i="4"/>
  <c r="D3" i="4"/>
  <c r="D4" i="4"/>
  <c r="D5" i="4"/>
  <c r="D6" i="4"/>
  <c r="D16" i="4"/>
  <c r="D7" i="4"/>
  <c r="D11" i="4"/>
  <c r="D15" i="4"/>
  <c r="D13" i="4"/>
  <c r="D14" i="4"/>
  <c r="D9" i="4"/>
  <c r="D8" i="4"/>
  <c r="D18" i="4"/>
  <c r="D24" i="4"/>
  <c r="D21" i="4"/>
  <c r="D17" i="4"/>
  <c r="D20" i="4"/>
  <c r="D23" i="4"/>
  <c r="D12" i="4"/>
  <c r="D19" i="4"/>
  <c r="C8" i="3"/>
  <c r="C6" i="3"/>
  <c r="G9" i="2" l="1"/>
  <c r="G8" i="2"/>
  <c r="G6" i="2"/>
  <c r="M3" i="1" l="1"/>
  <c r="L5" i="1"/>
  <c r="O8" i="1"/>
  <c r="O9" i="1" l="1"/>
  <c r="O7" i="1" l="1"/>
  <c r="O11" i="1" s="1"/>
  <c r="O3" i="1" s="1"/>
</calcChain>
</file>

<file path=xl/sharedStrings.xml><?xml version="1.0" encoding="utf-8"?>
<sst xmlns="http://schemas.openxmlformats.org/spreadsheetml/2006/main" count="451" uniqueCount="266">
  <si>
    <t>ID</t>
  </si>
  <si>
    <t>CA</t>
  </si>
  <si>
    <t>TX</t>
  </si>
  <si>
    <t>WA</t>
  </si>
  <si>
    <t>AZ</t>
  </si>
  <si>
    <t>LA</t>
  </si>
  <si>
    <t>MO</t>
  </si>
  <si>
    <t>NC</t>
  </si>
  <si>
    <t>NM</t>
  </si>
  <si>
    <t>WI</t>
  </si>
  <si>
    <t>PA</t>
  </si>
  <si>
    <t>FL</t>
  </si>
  <si>
    <t>OR</t>
  </si>
  <si>
    <t>TN</t>
  </si>
  <si>
    <t>NJ</t>
  </si>
  <si>
    <t>RI</t>
  </si>
  <si>
    <t>OH</t>
  </si>
  <si>
    <t>IN</t>
  </si>
  <si>
    <t>MI</t>
  </si>
  <si>
    <t>MT</t>
  </si>
  <si>
    <t>IL</t>
  </si>
  <si>
    <t>OK</t>
  </si>
  <si>
    <t>CO</t>
  </si>
  <si>
    <t>NH</t>
  </si>
  <si>
    <t xml:space="preserve">Lawrence J. Ellison </t>
  </si>
  <si>
    <t xml:space="preserve">Elon Musk </t>
  </si>
  <si>
    <t xml:space="preserve">Mario J. Gabelli </t>
  </si>
  <si>
    <t xml:space="preserve">Robert A. Kotick </t>
  </si>
  <si>
    <t xml:space="preserve">Leslie Moonves </t>
  </si>
  <si>
    <t xml:space="preserve">Charif Souki </t>
  </si>
  <si>
    <t xml:space="preserve">Brett A. Roberts </t>
  </si>
  <si>
    <t xml:space="preserve">John H. Hammergren </t>
  </si>
  <si>
    <t xml:space="preserve">David M. Zaslav </t>
  </si>
  <si>
    <t xml:space="preserve">Richard M. Bracken </t>
  </si>
  <si>
    <t xml:space="preserve">Gregory B. Maffei </t>
  </si>
  <si>
    <t xml:space="preserve">Richard B. Handler </t>
  </si>
  <si>
    <t xml:space="preserve">James Q. Crowe </t>
  </si>
  <si>
    <t xml:space="preserve">R. W. Tillerson </t>
  </si>
  <si>
    <t xml:space="preserve">Robert A. Iger </t>
  </si>
  <si>
    <t xml:space="preserve">Paul A. Ricci </t>
  </si>
  <si>
    <t xml:space="preserve">Marissa A. Mayer </t>
  </si>
  <si>
    <t xml:space="preserve">Ralph Lauren </t>
  </si>
  <si>
    <t xml:space="preserve">Mark G. Parker </t>
  </si>
  <si>
    <t xml:space="preserve">Lawrence Kingsley </t>
  </si>
  <si>
    <t xml:space="preserve">Philippe P. Dauman </t>
  </si>
  <si>
    <t xml:space="preserve">David M. Cote </t>
  </si>
  <si>
    <t xml:space="preserve">Jefferies Group Llc </t>
  </si>
  <si>
    <t>Налог</t>
  </si>
  <si>
    <t>Страховка</t>
  </si>
  <si>
    <t>Алексеева Ирина</t>
  </si>
  <si>
    <t>Бондарь Наталия</t>
  </si>
  <si>
    <t>Винницкий Павел</t>
  </si>
  <si>
    <t>Грач Леонид</t>
  </si>
  <si>
    <t>Гринфельд Михаил</t>
  </si>
  <si>
    <t>Дашкевич Маргарита</t>
  </si>
  <si>
    <t>Дулин Евгений</t>
  </si>
  <si>
    <t>Ермолаева Полина</t>
  </si>
  <si>
    <t>Ковалев Эдуард</t>
  </si>
  <si>
    <t>Сергеев Василий</t>
  </si>
  <si>
    <t>Работник</t>
  </si>
  <si>
    <t>Цех/участок</t>
  </si>
  <si>
    <t>ID работника</t>
  </si>
  <si>
    <t>№ документа</t>
  </si>
  <si>
    <t>К выплате</t>
  </si>
  <si>
    <t>Вычеты</t>
  </si>
  <si>
    <t>Налоги</t>
  </si>
  <si>
    <t>Пенсионный фонд</t>
  </si>
  <si>
    <t>Всего</t>
  </si>
  <si>
    <t>Цех 12, участок 2</t>
  </si>
  <si>
    <t>Цех 12, участок 8</t>
  </si>
  <si>
    <t>Цех 10, участок 2</t>
  </si>
  <si>
    <t>Цех 10, участок 1</t>
  </si>
  <si>
    <t>Цех 14, участок 3</t>
  </si>
  <si>
    <t>Цех 14, участок 1</t>
  </si>
  <si>
    <t>Цех 12, участок 1</t>
  </si>
  <si>
    <t>Отработано</t>
  </si>
  <si>
    <t>часов</t>
  </si>
  <si>
    <t>Почасовой</t>
  </si>
  <si>
    <t>тариф</t>
  </si>
  <si>
    <t>фонд</t>
  </si>
  <si>
    <t>Пенс.</t>
  </si>
  <si>
    <t>Начислено</t>
  </si>
  <si>
    <t>Город</t>
  </si>
  <si>
    <t>Штат</t>
  </si>
  <si>
    <t>№ магазина</t>
  </si>
  <si>
    <t>Штат:</t>
  </si>
  <si>
    <t>Город:</t>
  </si>
  <si>
    <t>Магазин:</t>
  </si>
  <si>
    <t>ПРОСМОТР Город:</t>
  </si>
  <si>
    <t>ПРОСМОТР Магазин:</t>
  </si>
  <si>
    <t>Чендлер</t>
  </si>
  <si>
    <t>Глендейл</t>
  </si>
  <si>
    <t>Гейнесвиль</t>
  </si>
  <si>
    <t>Пеория</t>
  </si>
  <si>
    <t>Индианополис</t>
  </si>
  <si>
    <t>Лафайет</t>
  </si>
  <si>
    <t>Гранд-Рапидс</t>
  </si>
  <si>
    <t>Форт-Коллинз</t>
  </si>
  <si>
    <t>Сент-Луис</t>
  </si>
  <si>
    <t>Биллингс</t>
  </si>
  <si>
    <t>Роли</t>
  </si>
  <si>
    <t>Манчестер</t>
  </si>
  <si>
    <t>Элизабет</t>
  </si>
  <si>
    <t>Альбукерк</t>
  </si>
  <si>
    <t>Толедо</t>
  </si>
  <si>
    <t>Талса</t>
  </si>
  <si>
    <t>Портленд</t>
  </si>
  <si>
    <t>Эри</t>
  </si>
  <si>
    <t>Провиденс</t>
  </si>
  <si>
    <t>Кларксвиль</t>
  </si>
  <si>
    <t>Карролтон</t>
  </si>
  <si>
    <t>Такома</t>
  </si>
  <si>
    <t>Грин-Бей</t>
  </si>
  <si>
    <t>Температура</t>
  </si>
  <si>
    <t>Ваш город:</t>
  </si>
  <si>
    <t>Температура:</t>
  </si>
  <si>
    <t>Сан-Пауло</t>
  </si>
  <si>
    <t>Каиманду</t>
  </si>
  <si>
    <t>Касабланка</t>
  </si>
  <si>
    <t>Лиссабон</t>
  </si>
  <si>
    <t>Мумбаи</t>
  </si>
  <si>
    <t>Хониара</t>
  </si>
  <si>
    <t>Эдмонтон</t>
  </si>
  <si>
    <t>Анадырь</t>
  </si>
  <si>
    <t>Лхаса</t>
  </si>
  <si>
    <t>Используя ИНДЕКС:</t>
  </si>
  <si>
    <t>Чунцин</t>
  </si>
  <si>
    <t>Компания</t>
  </si>
  <si>
    <t>Руководитель</t>
  </si>
  <si>
    <t>Годовой доход</t>
  </si>
  <si>
    <t>Имя</t>
  </si>
  <si>
    <t>Доход за 2012 год</t>
  </si>
  <si>
    <t>Activision Blizzard</t>
  </si>
  <si>
    <t xml:space="preserve">Корпорация CBS </t>
  </si>
  <si>
    <t>Cheniere Energy</t>
  </si>
  <si>
    <t>Credit Acceptance</t>
  </si>
  <si>
    <t>Discovery Communications</t>
  </si>
  <si>
    <t>Disney (Walt)</t>
  </si>
  <si>
    <t>Корпорация Exxon Mobil</t>
  </si>
  <si>
    <t>Gamco Investors</t>
  </si>
  <si>
    <t>HCA Holdings</t>
  </si>
  <si>
    <t>Honeywell International</t>
  </si>
  <si>
    <t>Level 3 Communications</t>
  </si>
  <si>
    <t>Liberty Interactive</t>
  </si>
  <si>
    <t>Корпорация Mckesson</t>
  </si>
  <si>
    <t>Nike</t>
  </si>
  <si>
    <t>Nuance Communications</t>
  </si>
  <si>
    <t xml:space="preserve">Корпорация Oracle </t>
  </si>
  <si>
    <t xml:space="preserve">Корпорация Pall </t>
  </si>
  <si>
    <t>Ralph Lauren</t>
  </si>
  <si>
    <t>Tesla Motors</t>
  </si>
  <si>
    <t>Viacom</t>
  </si>
  <si>
    <t>Yahoo</t>
  </si>
  <si>
    <t>Зарплата от</t>
  </si>
  <si>
    <t>Зарплата за 2 недели:</t>
  </si>
  <si>
    <t>Зарплата без пособия:</t>
  </si>
  <si>
    <t>но не больше</t>
  </si>
  <si>
    <t>Базовая сумма</t>
  </si>
  <si>
    <t>Взимаемый налог:</t>
  </si>
  <si>
    <t>Не облагаемые пособия</t>
  </si>
  <si>
    <t>Сумма пособий:</t>
  </si>
  <si>
    <t>Ставка</t>
  </si>
  <si>
    <t>ИНДЕКС и ПОИСКПОЗ:</t>
  </si>
  <si>
    <t>Состоит в браке</t>
  </si>
  <si>
    <t xml:space="preserve">Не состоит в браке </t>
  </si>
  <si>
    <t>В браке или холост:</t>
  </si>
  <si>
    <t>Холост</t>
  </si>
  <si>
    <t>Продажи по регионам</t>
  </si>
  <si>
    <t>Регион</t>
  </si>
  <si>
    <t>Юг</t>
  </si>
  <si>
    <t>Северо-восток</t>
  </si>
  <si>
    <t>Север</t>
  </si>
  <si>
    <t>Запад</t>
  </si>
  <si>
    <t>Центр</t>
  </si>
  <si>
    <t>Восток</t>
  </si>
  <si>
    <t>Северо-запад</t>
  </si>
  <si>
    <t>Регион:</t>
  </si>
  <si>
    <t>Год:</t>
  </si>
  <si>
    <t>Продажи:</t>
  </si>
  <si>
    <t>Итого</t>
  </si>
  <si>
    <t>Подразделение</t>
  </si>
  <si>
    <t>Менеджер</t>
  </si>
  <si>
    <t>Бюджет</t>
  </si>
  <si>
    <t>Подразделение:</t>
  </si>
  <si>
    <t>Бюджет:</t>
  </si>
  <si>
    <t>Менеджер:</t>
  </si>
  <si>
    <t>Сумма</t>
  </si>
  <si>
    <t>А-6787</t>
  </si>
  <si>
    <t>А-4374</t>
  </si>
  <si>
    <t>А-5061</t>
  </si>
  <si>
    <t>А-4305</t>
  </si>
  <si>
    <t>А-1477</t>
  </si>
  <si>
    <t>А-5552</t>
  </si>
  <si>
    <t>А-8685</t>
  </si>
  <si>
    <t>А-1491</t>
  </si>
  <si>
    <t>А-2408</t>
  </si>
  <si>
    <t>А-6513</t>
  </si>
  <si>
    <t>единиц</t>
  </si>
  <si>
    <t>Количество</t>
  </si>
  <si>
    <t xml:space="preserve"> накладной</t>
  </si>
  <si>
    <t>Номер</t>
  </si>
  <si>
    <t>Последняя</t>
  </si>
  <si>
    <t>сумма</t>
  </si>
  <si>
    <t>накладная</t>
  </si>
  <si>
    <t>Юго-запад</t>
  </si>
  <si>
    <t>Бухгалтерия</t>
  </si>
  <si>
    <t>Юридический отдел</t>
  </si>
  <si>
    <t>Транспортный отдел</t>
  </si>
  <si>
    <t>Конструкторский отдел</t>
  </si>
  <si>
    <t>Отдел маркетинга</t>
  </si>
  <si>
    <t>Отдел бизнес-исследований</t>
  </si>
  <si>
    <t>Отдел сбыта</t>
  </si>
  <si>
    <t>Отдел связи с клиентами</t>
  </si>
  <si>
    <t>Отдел снабжения</t>
  </si>
  <si>
    <t>Отдел гарантийного обслуживания</t>
  </si>
  <si>
    <t>Финансовый отдел</t>
  </si>
  <si>
    <t>Отдел  ИТ</t>
  </si>
  <si>
    <t>Плановый отдел</t>
  </si>
  <si>
    <t>Производственный отдел</t>
  </si>
  <si>
    <t>Отдел кадров</t>
  </si>
  <si>
    <t>Отдел технического контроля</t>
  </si>
  <si>
    <t>Отдел лицензирования</t>
  </si>
  <si>
    <t>Руководство предприятия</t>
  </si>
  <si>
    <t>Владимир Рыков</t>
  </si>
  <si>
    <t>Дмитрий Улевой</t>
  </si>
  <si>
    <t>Иван Броневой</t>
  </si>
  <si>
    <t>Леонид Викторов</t>
  </si>
  <si>
    <t>Людмила Борисова</t>
  </si>
  <si>
    <t>Маргарита Уварова</t>
  </si>
  <si>
    <t>Михаил Ожегов</t>
  </si>
  <si>
    <t>Петр Юркин</t>
  </si>
  <si>
    <t>Сергей Ринкин</t>
  </si>
  <si>
    <t>Федор Еромолаев</t>
  </si>
  <si>
    <t>Жуковский</t>
  </si>
  <si>
    <t>Борисов Сергей</t>
  </si>
  <si>
    <t>Вольский Арнольд</t>
  </si>
  <si>
    <t>Давыдов Владимир</t>
  </si>
  <si>
    <t>Гурский Михаил</t>
  </si>
  <si>
    <t>Кущ Валентина</t>
  </si>
  <si>
    <t>Малевский Александр</t>
  </si>
  <si>
    <t>Онопко Федер</t>
  </si>
  <si>
    <t>Ружников Петр</t>
  </si>
  <si>
    <t>Уваров  Даниил</t>
  </si>
  <si>
    <t>Цепко Валентин</t>
  </si>
  <si>
    <t>Алексеев Тимофей</t>
  </si>
  <si>
    <t>Бутов Владислав</t>
  </si>
  <si>
    <t>Волошин Александр</t>
  </si>
  <si>
    <t>Гомельский Илья</t>
  </si>
  <si>
    <t>Довгань Яков</t>
  </si>
  <si>
    <t>Ефимов Геннадий</t>
  </si>
  <si>
    <t>Жуков Василий</t>
  </si>
  <si>
    <t>Масин Тарас</t>
  </si>
  <si>
    <t>Панина Ирина</t>
  </si>
  <si>
    <t>Романова Людмила</t>
  </si>
  <si>
    <t>Сонина Ольга</t>
  </si>
  <si>
    <t>Томский Мирослав</t>
  </si>
  <si>
    <t>Удалова Ольга</t>
  </si>
  <si>
    <t>Уланов Максим</t>
  </si>
  <si>
    <t>Федоров Владимир</t>
  </si>
  <si>
    <t>Харламов Юрий</t>
  </si>
  <si>
    <t>Хорькова Татьяна</t>
  </si>
  <si>
    <t>Цветаева Нина</t>
  </si>
  <si>
    <t>Яковлев Вячеслав</t>
  </si>
  <si>
    <t>Самуэлсон Давид</t>
  </si>
  <si>
    <t>Кателин Костантин</t>
  </si>
  <si>
    <t>Марцев Махаил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</si>
</sst>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%"/>
    <numFmt numFmtId="169" formatCode="_(* #,##0.00000000_);_(* \(#,##0.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3"/>
      </patternFill>
    </fill>
    <fill>
      <patternFill patternType="solid">
        <fgColor theme="0" tint="-4.9989318521683403E-2"/>
        <bgColor indexed="62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3" borderId="12" applyNumberFormat="0" applyAlignment="0" applyProtection="0"/>
    <xf numFmtId="0" fontId="4" fillId="4" borderId="13" applyNumberFormat="0" applyAlignment="0" applyProtection="0"/>
  </cellStyleXfs>
  <cellXfs count="57">
    <xf numFmtId="0" fontId="0" fillId="0" borderId="0" xfId="0"/>
    <xf numFmtId="166" fontId="0" fillId="0" borderId="0" xfId="1" applyFont="1"/>
    <xf numFmtId="0" fontId="2" fillId="0" borderId="1" xfId="0" applyFont="1" applyBorder="1" applyAlignment="1">
      <alignment horizontal="center"/>
    </xf>
    <xf numFmtId="166" fontId="0" fillId="0" borderId="0" xfId="0" applyNumberFormat="1"/>
    <xf numFmtId="9" fontId="0" fillId="0" borderId="0" xfId="1" applyNumberFormat="1" applyFont="1"/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3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166" fontId="0" fillId="2" borderId="8" xfId="0" applyNumberFormat="1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3" xfId="0" applyFill="1" applyBorder="1"/>
    <xf numFmtId="0" fontId="2" fillId="2" borderId="2" xfId="0" applyFont="1" applyFill="1" applyBorder="1"/>
    <xf numFmtId="0" fontId="2" fillId="2" borderId="10" xfId="0" applyFont="1" applyFill="1" applyBorder="1"/>
    <xf numFmtId="0" fontId="0" fillId="2" borderId="2" xfId="0" applyFill="1" applyBorder="1"/>
    <xf numFmtId="0" fontId="0" fillId="2" borderId="11" xfId="0" applyFill="1" applyBorder="1"/>
    <xf numFmtId="166" fontId="0" fillId="2" borderId="3" xfId="1" applyFont="1" applyFill="1" applyBorder="1"/>
    <xf numFmtId="166" fontId="0" fillId="2" borderId="11" xfId="1" applyFont="1" applyFill="1" applyBorder="1"/>
    <xf numFmtId="166" fontId="0" fillId="2" borderId="4" xfId="1" applyFont="1" applyFill="1" applyBorder="1"/>
    <xf numFmtId="167" fontId="0" fillId="0" borderId="0" xfId="1" applyNumberFormat="1" applyFont="1"/>
    <xf numFmtId="0" fontId="0" fillId="0" borderId="0" xfId="0" applyAlignment="1">
      <alignment horizontal="right" indent="1"/>
    </xf>
    <xf numFmtId="0" fontId="3" fillId="3" borderId="12" xfId="3" applyAlignment="1">
      <alignment horizontal="left" indent="1"/>
    </xf>
    <xf numFmtId="0" fontId="4" fillId="4" borderId="13" xfId="4" applyAlignment="1">
      <alignment horizontal="left" indent="1"/>
    </xf>
    <xf numFmtId="0" fontId="0" fillId="0" borderId="0" xfId="0" applyFill="1" applyBorder="1" applyAlignment="1">
      <alignment horizontal="right" indent="1"/>
    </xf>
    <xf numFmtId="0" fontId="2" fillId="0" borderId="0" xfId="0" applyFont="1"/>
    <xf numFmtId="0" fontId="2" fillId="0" borderId="0" xfId="0" applyFont="1" applyAlignment="1">
      <alignment horizontal="right" indent="1"/>
    </xf>
    <xf numFmtId="0" fontId="0" fillId="0" borderId="0" xfId="0" applyAlignment="1">
      <alignment horizontal="center"/>
    </xf>
    <xf numFmtId="0" fontId="4" fillId="4" borderId="13" xfId="4" applyAlignment="1">
      <alignment horizontal="center"/>
    </xf>
    <xf numFmtId="164" fontId="0" fillId="0" borderId="0" xfId="0" applyNumberFormat="1"/>
    <xf numFmtId="168" fontId="0" fillId="0" borderId="0" xfId="0" applyNumberFormat="1"/>
    <xf numFmtId="166" fontId="0" fillId="0" borderId="2" xfId="0" applyNumberFormat="1" applyBorder="1"/>
    <xf numFmtId="0" fontId="5" fillId="0" borderId="0" xfId="0" applyFont="1"/>
    <xf numFmtId="0" fontId="6" fillId="0" borderId="0" xfId="0" applyFont="1"/>
    <xf numFmtId="0" fontId="0" fillId="0" borderId="0" xfId="0" applyNumberFormat="1" applyAlignment="1">
      <alignment horizontal="right" indent="1"/>
    </xf>
    <xf numFmtId="0" fontId="3" fillId="3" borderId="12" xfId="3" applyAlignment="1">
      <alignment horizontal="center"/>
    </xf>
    <xf numFmtId="164" fontId="4" fillId="4" borderId="13" xfId="4" applyNumberFormat="1"/>
    <xf numFmtId="164" fontId="0" fillId="0" borderId="14" xfId="0" applyNumberFormat="1" applyBorder="1"/>
    <xf numFmtId="11" fontId="0" fillId="0" borderId="0" xfId="0" applyNumberFormat="1"/>
    <xf numFmtId="169" fontId="0" fillId="0" borderId="0" xfId="0" applyNumberFormat="1"/>
    <xf numFmtId="0" fontId="0" fillId="0" borderId="15" xfId="0" applyBorder="1"/>
    <xf numFmtId="49" fontId="0" fillId="0" borderId="0" xfId="0" applyNumberFormat="1" applyAlignment="1"/>
    <xf numFmtId="0" fontId="0" fillId="0" borderId="16" xfId="0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 wrapText="1"/>
    </xf>
    <xf numFmtId="40" fontId="0" fillId="2" borderId="2" xfId="2" applyNumberFormat="1" applyFont="1" applyFill="1" applyBorder="1"/>
    <xf numFmtId="40" fontId="0" fillId="2" borderId="4" xfId="2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5" borderId="18" xfId="0" applyFill="1" applyBorder="1"/>
    <xf numFmtId="0" fontId="0" fillId="0" borderId="18" xfId="0" applyBorder="1"/>
    <xf numFmtId="0" fontId="0" fillId="0" borderId="18" xfId="0" applyFont="1" applyBorder="1"/>
    <xf numFmtId="0" fontId="0" fillId="6" borderId="18" xfId="0" applyFill="1" applyBorder="1"/>
  </cellXfs>
  <cellStyles count="5">
    <cellStyle name="Ввод " xfId="3" builtinId="20"/>
    <cellStyle name="Вывод" xfId="4" builtinId="21"/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22"/>
  <sheetViews>
    <sheetView workbookViewId="0">
      <selection activeCell="O7" sqref="O7"/>
    </sheetView>
  </sheetViews>
  <sheetFormatPr defaultRowHeight="15" x14ac:dyDescent="0.25"/>
  <cols>
    <col min="1" max="1" width="3.85546875" customWidth="1"/>
    <col min="2" max="2" width="4" bestFit="1" customWidth="1"/>
    <col min="3" max="3" width="20.7109375" bestFit="1" customWidth="1"/>
    <col min="4" max="4" width="16.42578125" bestFit="1" customWidth="1"/>
    <col min="5" max="5" width="11.85546875" bestFit="1" customWidth="1"/>
    <col min="6" max="6" width="10.5703125" bestFit="1" customWidth="1"/>
    <col min="7" max="7" width="6.28515625" bestFit="1" customWidth="1"/>
    <col min="8" max="8" width="10.28515625" bestFit="1" customWidth="1"/>
    <col min="9" max="9" width="6" bestFit="1" customWidth="1"/>
    <col min="10" max="10" width="5.85546875" customWidth="1"/>
    <col min="11" max="11" width="3.42578125" customWidth="1"/>
    <col min="12" max="12" width="13.7109375" customWidth="1"/>
    <col min="13" max="15" width="17.85546875" customWidth="1"/>
  </cols>
  <sheetData>
    <row r="1" spans="2:15" x14ac:dyDescent="0.25">
      <c r="B1" s="45"/>
      <c r="C1" s="45"/>
      <c r="D1" s="45"/>
      <c r="E1" s="46" t="s">
        <v>75</v>
      </c>
      <c r="F1" s="46" t="s">
        <v>77</v>
      </c>
      <c r="G1" s="45"/>
      <c r="H1" s="45"/>
      <c r="I1" s="46" t="s">
        <v>80</v>
      </c>
    </row>
    <row r="2" spans="2:15" ht="15" customHeight="1" x14ac:dyDescent="0.25">
      <c r="B2" s="47" t="s">
        <v>0</v>
      </c>
      <c r="C2" s="47" t="s">
        <v>59</v>
      </c>
      <c r="D2" s="47" t="s">
        <v>60</v>
      </c>
      <c r="E2" s="48" t="s">
        <v>76</v>
      </c>
      <c r="F2" s="48" t="s">
        <v>78</v>
      </c>
      <c r="G2" s="47" t="s">
        <v>47</v>
      </c>
      <c r="H2" s="47" t="s">
        <v>48</v>
      </c>
      <c r="I2" s="48" t="s">
        <v>79</v>
      </c>
      <c r="L2" s="5" t="s">
        <v>61</v>
      </c>
      <c r="M2" s="5" t="s">
        <v>59</v>
      </c>
      <c r="N2" s="5" t="s">
        <v>62</v>
      </c>
      <c r="O2" s="5" t="s">
        <v>63</v>
      </c>
    </row>
    <row r="3" spans="2:15" x14ac:dyDescent="0.25">
      <c r="B3">
        <v>154</v>
      </c>
      <c r="C3" s="43" t="s">
        <v>49</v>
      </c>
      <c r="D3" s="44" t="s">
        <v>69</v>
      </c>
      <c r="E3" s="23">
        <v>168</v>
      </c>
      <c r="F3" s="1">
        <v>136.30000000000001</v>
      </c>
      <c r="G3" s="4">
        <v>0.13</v>
      </c>
      <c r="H3" s="1">
        <v>100</v>
      </c>
      <c r="I3" s="4">
        <v>0.08</v>
      </c>
      <c r="L3" s="6">
        <v>319</v>
      </c>
      <c r="M3" s="6" t="str">
        <f>VLOOKUP($L$3,$B$3:$I$12,2,FALSE)</f>
        <v>Винницкий Павел</v>
      </c>
      <c r="N3" s="6">
        <v>164</v>
      </c>
      <c r="O3" s="50">
        <f>M7-O11</f>
        <v>17433.713599999999</v>
      </c>
    </row>
    <row r="4" spans="2:15" ht="15" customHeight="1" x14ac:dyDescent="0.25">
      <c r="B4">
        <v>240</v>
      </c>
      <c r="C4" s="43" t="s">
        <v>50</v>
      </c>
      <c r="D4" s="44" t="s">
        <v>68</v>
      </c>
      <c r="E4" s="23">
        <v>80</v>
      </c>
      <c r="F4" s="1">
        <v>146.4</v>
      </c>
      <c r="G4" s="4">
        <v>0.13</v>
      </c>
      <c r="H4" s="1">
        <v>200</v>
      </c>
      <c r="I4" s="4">
        <v>7.0000000000000007E-2</v>
      </c>
      <c r="L4" s="7" t="s">
        <v>60</v>
      </c>
      <c r="M4" s="8"/>
      <c r="N4" s="9"/>
      <c r="O4" s="10"/>
    </row>
    <row r="5" spans="2:15" x14ac:dyDescent="0.25">
      <c r="B5">
        <v>319</v>
      </c>
      <c r="C5" s="43" t="s">
        <v>51</v>
      </c>
      <c r="D5" s="44" t="s">
        <v>74</v>
      </c>
      <c r="E5" s="23">
        <v>176</v>
      </c>
      <c r="F5" s="1">
        <v>120.5</v>
      </c>
      <c r="G5" s="4">
        <v>0.14000000000000001</v>
      </c>
      <c r="H5" s="1">
        <v>300</v>
      </c>
      <c r="I5" s="4">
        <v>0.03</v>
      </c>
      <c r="L5" s="11" t="str">
        <f>VLOOKUP($L$3,$B$3:$I$12,3,FALSE)</f>
        <v>Цех 12, участок 1</v>
      </c>
      <c r="M5" s="12"/>
      <c r="N5" s="13"/>
      <c r="O5" s="14"/>
    </row>
    <row r="6" spans="2:15" ht="13.5" customHeight="1" x14ac:dyDescent="0.25">
      <c r="B6">
        <v>331</v>
      </c>
      <c r="C6" s="43" t="s">
        <v>52</v>
      </c>
      <c r="D6" s="44" t="s">
        <v>71</v>
      </c>
      <c r="E6" s="23">
        <v>168</v>
      </c>
      <c r="F6" s="1">
        <v>110</v>
      </c>
      <c r="G6" s="4">
        <v>0.1</v>
      </c>
      <c r="H6" s="1">
        <v>300</v>
      </c>
      <c r="I6" s="4">
        <v>0.05</v>
      </c>
      <c r="L6" s="15"/>
      <c r="M6" s="16" t="s">
        <v>81</v>
      </c>
      <c r="N6" s="17" t="s">
        <v>64</v>
      </c>
      <c r="O6" s="18"/>
    </row>
    <row r="7" spans="2:15" x14ac:dyDescent="0.25">
      <c r="B7">
        <v>428</v>
      </c>
      <c r="C7" s="43" t="s">
        <v>53</v>
      </c>
      <c r="D7" s="44" t="s">
        <v>70</v>
      </c>
      <c r="E7" s="23">
        <v>144</v>
      </c>
      <c r="F7" s="1">
        <v>120.8</v>
      </c>
      <c r="G7" s="4">
        <v>0.13</v>
      </c>
      <c r="H7" s="1">
        <v>100</v>
      </c>
      <c r="I7" s="4">
        <v>0.05</v>
      </c>
      <c r="L7" s="19"/>
      <c r="M7" s="20">
        <f>VLOOKUP($L$3,$B$3:$I$12,5,FALSE)*VLOOKUP($L$3,$B$3:$I$12,4,FALSE)</f>
        <v>21208</v>
      </c>
      <c r="N7" s="15" t="s">
        <v>65</v>
      </c>
      <c r="O7" s="20">
        <f>(M7-O8-O9)*VLOOKUP($L$3,$B$3:$I$12,6,FALSE)</f>
        <v>2838.0464000000002</v>
      </c>
    </row>
    <row r="8" spans="2:15" x14ac:dyDescent="0.25">
      <c r="B8">
        <v>451</v>
      </c>
      <c r="C8" s="43" t="s">
        <v>54</v>
      </c>
      <c r="D8" s="44" t="s">
        <v>70</v>
      </c>
      <c r="E8" s="23">
        <v>120</v>
      </c>
      <c r="F8" s="1">
        <v>120.8</v>
      </c>
      <c r="G8" s="4">
        <v>0.13</v>
      </c>
      <c r="H8" s="1">
        <v>200</v>
      </c>
      <c r="I8" s="4">
        <v>7.0000000000000007E-2</v>
      </c>
      <c r="L8" s="19"/>
      <c r="M8" s="19"/>
      <c r="N8" s="19" t="s">
        <v>48</v>
      </c>
      <c r="O8" s="21">
        <f>VLOOKUP($L$3,$B$3:$I$12,7,FALSE)</f>
        <v>300</v>
      </c>
    </row>
    <row r="9" spans="2:15" x14ac:dyDescent="0.25">
      <c r="B9">
        <v>527</v>
      </c>
      <c r="C9" s="43" t="s">
        <v>55</v>
      </c>
      <c r="D9" s="44" t="s">
        <v>72</v>
      </c>
      <c r="E9" s="23">
        <v>168</v>
      </c>
      <c r="F9" s="1">
        <v>136.30000000000001</v>
      </c>
      <c r="G9" s="4">
        <v>0.14000000000000001</v>
      </c>
      <c r="H9" s="1">
        <v>300</v>
      </c>
      <c r="I9" s="4">
        <v>0.04</v>
      </c>
      <c r="L9" s="19"/>
      <c r="M9" s="19"/>
      <c r="N9" s="19" t="s">
        <v>66</v>
      </c>
      <c r="O9" s="21">
        <f>M7*VLOOKUP($L$3,$B$3:$I$12,8,FALSE)</f>
        <v>636.24</v>
      </c>
    </row>
    <row r="10" spans="2:15" x14ac:dyDescent="0.25">
      <c r="B10">
        <v>540</v>
      </c>
      <c r="C10" s="43" t="s">
        <v>56</v>
      </c>
      <c r="D10" s="44" t="s">
        <v>72</v>
      </c>
      <c r="E10" s="23">
        <v>184</v>
      </c>
      <c r="F10" s="1">
        <v>146.4</v>
      </c>
      <c r="G10" s="4">
        <v>0.1</v>
      </c>
      <c r="H10" s="1">
        <v>200</v>
      </c>
      <c r="I10" s="4">
        <v>0.05</v>
      </c>
      <c r="L10" s="19"/>
      <c r="M10" s="11"/>
      <c r="N10" s="11"/>
      <c r="O10" s="22"/>
    </row>
    <row r="11" spans="2:15" x14ac:dyDescent="0.25">
      <c r="B11">
        <v>665</v>
      </c>
      <c r="C11" s="43" t="s">
        <v>57</v>
      </c>
      <c r="D11" s="44" t="s">
        <v>73</v>
      </c>
      <c r="E11" s="23">
        <v>168</v>
      </c>
      <c r="F11" s="1">
        <v>110</v>
      </c>
      <c r="G11" s="4">
        <v>0.13</v>
      </c>
      <c r="H11" s="1">
        <v>100</v>
      </c>
      <c r="I11" s="4">
        <v>0.01</v>
      </c>
      <c r="L11" s="11"/>
      <c r="M11" s="18"/>
      <c r="N11" s="18" t="s">
        <v>67</v>
      </c>
      <c r="O11" s="49">
        <f>SUM(O7:O10)</f>
        <v>3774.2864</v>
      </c>
    </row>
    <row r="12" spans="2:15" x14ac:dyDescent="0.25">
      <c r="B12">
        <v>981</v>
      </c>
      <c r="C12" t="s">
        <v>58</v>
      </c>
      <c r="D12" s="44" t="s">
        <v>73</v>
      </c>
      <c r="E12" s="23">
        <v>88</v>
      </c>
      <c r="F12" s="1">
        <v>120.5</v>
      </c>
      <c r="G12" s="4">
        <v>0.13</v>
      </c>
      <c r="H12" s="1">
        <v>100</v>
      </c>
      <c r="I12" s="4">
        <v>0.08</v>
      </c>
      <c r="O12" s="3"/>
    </row>
    <row r="13" spans="2:15" x14ac:dyDescent="0.25">
      <c r="O13" s="3"/>
    </row>
    <row r="14" spans="2:15" x14ac:dyDescent="0.25">
      <c r="C14" s="43"/>
    </row>
    <row r="15" spans="2:15" x14ac:dyDescent="0.25">
      <c r="C15" s="43"/>
    </row>
    <row r="16" spans="2:15" x14ac:dyDescent="0.25">
      <c r="C16" s="43"/>
    </row>
    <row r="17" spans="3:3" x14ac:dyDescent="0.25">
      <c r="C17" s="43"/>
    </row>
    <row r="18" spans="3:3" x14ac:dyDescent="0.25">
      <c r="C18" s="43"/>
    </row>
    <row r="19" spans="3:3" x14ac:dyDescent="0.25">
      <c r="C19" s="43"/>
    </row>
    <row r="20" spans="3:3" x14ac:dyDescent="0.25">
      <c r="C20" s="43"/>
    </row>
    <row r="21" spans="3:3" x14ac:dyDescent="0.25">
      <c r="C21" s="43"/>
    </row>
    <row r="22" spans="3:3" x14ac:dyDescent="0.25">
      <c r="C22" s="43"/>
    </row>
  </sheetData>
  <sortState ref="B3:F12">
    <sortCondition ref="B3:B12"/>
  </sortState>
  <dataValidations disablePrompts="1" count="1">
    <dataValidation type="list" allowBlank="1" showInputMessage="1" showErrorMessage="1" sqref="L3" xr:uid="{00000000-0002-0000-0000-000000000000}">
      <formula1>$B$3:$B$12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G15"/>
  <sheetViews>
    <sheetView workbookViewId="0">
      <selection activeCell="C15" sqref="C15"/>
    </sheetView>
  </sheetViews>
  <sheetFormatPr defaultRowHeight="15" x14ac:dyDescent="0.25"/>
  <cols>
    <col min="2" max="2" width="15.42578125" customWidth="1"/>
    <col min="3" max="6" width="12.7109375" customWidth="1"/>
    <col min="7" max="7" width="11.5703125" bestFit="1" customWidth="1"/>
  </cols>
  <sheetData>
    <row r="2" spans="2:7" x14ac:dyDescent="0.25">
      <c r="B2" s="36" t="s">
        <v>167</v>
      </c>
    </row>
    <row r="3" spans="2:7" x14ac:dyDescent="0.25">
      <c r="B3" s="2" t="s">
        <v>168</v>
      </c>
      <c r="C3" s="2">
        <v>2010</v>
      </c>
      <c r="D3" s="2">
        <v>2011</v>
      </c>
      <c r="E3" s="2">
        <v>2012</v>
      </c>
      <c r="F3" s="2">
        <v>2013</v>
      </c>
      <c r="G3" s="2" t="s">
        <v>179</v>
      </c>
    </row>
    <row r="4" spans="2:7" x14ac:dyDescent="0.25">
      <c r="B4" t="s">
        <v>169</v>
      </c>
      <c r="C4" s="32">
        <v>1525017</v>
      </c>
      <c r="D4" s="32">
        <v>1504678</v>
      </c>
      <c r="E4" s="32">
        <v>1227847</v>
      </c>
      <c r="F4" s="32">
        <v>1019616</v>
      </c>
      <c r="G4" s="32">
        <f>SUM(C4:F4)</f>
        <v>5277158</v>
      </c>
    </row>
    <row r="5" spans="2:7" x14ac:dyDescent="0.25">
      <c r="B5" t="s">
        <v>175</v>
      </c>
      <c r="C5" s="32">
        <v>2704237</v>
      </c>
      <c r="D5" s="32">
        <v>2135564</v>
      </c>
      <c r="E5" s="32">
        <v>1411782</v>
      </c>
      <c r="F5" s="32">
        <v>716535</v>
      </c>
      <c r="G5" s="32">
        <f t="shared" ref="G5:G9" si="0">SUM(C5:F5)</f>
        <v>6968118</v>
      </c>
    </row>
    <row r="6" spans="2:7" x14ac:dyDescent="0.25">
      <c r="B6" t="s">
        <v>171</v>
      </c>
      <c r="C6" s="32">
        <v>3563687</v>
      </c>
      <c r="D6" s="32">
        <v>4441886</v>
      </c>
      <c r="E6" s="32">
        <v>4805431</v>
      </c>
      <c r="F6" s="32">
        <v>3716674</v>
      </c>
      <c r="G6" s="32">
        <f t="shared" si="0"/>
        <v>16527678</v>
      </c>
    </row>
    <row r="7" spans="2:7" x14ac:dyDescent="0.25">
      <c r="B7" t="s">
        <v>172</v>
      </c>
      <c r="C7" s="32">
        <v>4489700</v>
      </c>
      <c r="D7" s="32">
        <v>2651064</v>
      </c>
      <c r="E7" s="32">
        <v>796330</v>
      </c>
      <c r="F7" s="32">
        <v>2898601</v>
      </c>
      <c r="G7" s="32">
        <f t="shared" si="0"/>
        <v>10835695</v>
      </c>
    </row>
    <row r="8" spans="2:7" x14ac:dyDescent="0.25">
      <c r="B8" t="s">
        <v>173</v>
      </c>
      <c r="C8" s="32">
        <v>2167319</v>
      </c>
      <c r="D8" s="32">
        <v>1357850</v>
      </c>
      <c r="E8" s="32">
        <v>776850</v>
      </c>
      <c r="F8" s="32">
        <v>3024542</v>
      </c>
      <c r="G8" s="32">
        <f t="shared" si="0"/>
        <v>7326561</v>
      </c>
    </row>
    <row r="9" spans="2:7" x14ac:dyDescent="0.25">
      <c r="B9" t="s">
        <v>174</v>
      </c>
      <c r="C9" s="32">
        <v>1861239</v>
      </c>
      <c r="D9" s="32">
        <v>3578280</v>
      </c>
      <c r="E9" s="32">
        <v>4069389</v>
      </c>
      <c r="F9" s="32">
        <v>1475301</v>
      </c>
      <c r="G9" s="32">
        <f t="shared" si="0"/>
        <v>10984209</v>
      </c>
    </row>
    <row r="10" spans="2:7" ht="15.75" thickBot="1" x14ac:dyDescent="0.3">
      <c r="B10" t="s">
        <v>67</v>
      </c>
      <c r="C10" s="40">
        <f>SUM(C4:C9)</f>
        <v>16311199</v>
      </c>
      <c r="D10" s="40">
        <f t="shared" ref="D10:G10" si="1">SUM(D4:D9)</f>
        <v>15669322</v>
      </c>
      <c r="E10" s="40">
        <f t="shared" si="1"/>
        <v>13087629</v>
      </c>
      <c r="F10" s="40">
        <f t="shared" si="1"/>
        <v>12851269</v>
      </c>
      <c r="G10" s="40">
        <f t="shared" si="1"/>
        <v>57919419</v>
      </c>
    </row>
    <row r="11" spans="2:7" ht="15.75" thickTop="1" x14ac:dyDescent="0.25">
      <c r="C11" s="32"/>
      <c r="D11" s="32"/>
      <c r="E11" s="32"/>
      <c r="F11" s="32"/>
    </row>
    <row r="13" spans="2:7" x14ac:dyDescent="0.25">
      <c r="B13" s="37" t="s">
        <v>176</v>
      </c>
      <c r="C13" s="38" t="s">
        <v>173</v>
      </c>
    </row>
    <row r="14" spans="2:7" x14ac:dyDescent="0.25">
      <c r="B14" s="37" t="s">
        <v>177</v>
      </c>
      <c r="C14" s="38"/>
    </row>
    <row r="15" spans="2:7" x14ac:dyDescent="0.25">
      <c r="B15" s="37" t="s">
        <v>178</v>
      </c>
      <c r="C15" s="39">
        <f>INDEX(C4:G10,IFERROR(MATCH(C13,B4:B10,FALSE),COUNTA(B4:B10)),
IFERROR(MATCH(C14,C3:G3,FALSE),COUNTA(C3:G3)))</f>
        <v>7326561</v>
      </c>
    </row>
  </sheetData>
  <dataValidations disablePrompts="1" count="2">
    <dataValidation type="list" allowBlank="1" showInputMessage="1" showErrorMessage="1" sqref="C14" xr:uid="{00000000-0002-0000-0900-000000000000}">
      <formula1>$C$3:$G$3</formula1>
    </dataValidation>
    <dataValidation type="list" allowBlank="1" showInputMessage="1" showErrorMessage="1" sqref="C13" xr:uid="{00000000-0002-0000-0900-000001000000}">
      <formula1>$B$4:$B$10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2:H45"/>
  <sheetViews>
    <sheetView workbookViewId="0">
      <selection activeCell="H7" sqref="H7"/>
    </sheetView>
  </sheetViews>
  <sheetFormatPr defaultRowHeight="15" x14ac:dyDescent="0.25"/>
  <cols>
    <col min="1" max="1" width="4.42578125" customWidth="1"/>
    <col min="2" max="2" width="14.5703125" bestFit="1" customWidth="1"/>
    <col min="3" max="3" width="33.85546875" bestFit="1" customWidth="1"/>
    <col min="4" max="4" width="21.85546875" bestFit="1" customWidth="1"/>
    <col min="5" max="5" width="10.28515625" bestFit="1" customWidth="1"/>
    <col min="6" max="6" width="5.5703125" customWidth="1"/>
    <col min="7" max="7" width="17.7109375" bestFit="1" customWidth="1"/>
    <col min="8" max="8" width="17.85546875" customWidth="1"/>
  </cols>
  <sheetData>
    <row r="2" spans="2:8" x14ac:dyDescent="0.25">
      <c r="B2" s="2" t="s">
        <v>168</v>
      </c>
      <c r="C2" s="2" t="s">
        <v>180</v>
      </c>
      <c r="D2" s="2" t="s">
        <v>181</v>
      </c>
      <c r="E2" s="2" t="s">
        <v>182</v>
      </c>
    </row>
    <row r="3" spans="2:8" x14ac:dyDescent="0.25">
      <c r="B3" t="s">
        <v>173</v>
      </c>
      <c r="C3" t="s">
        <v>206</v>
      </c>
      <c r="D3" s="53" t="s">
        <v>223</v>
      </c>
      <c r="E3" s="32">
        <v>4406018</v>
      </c>
    </row>
    <row r="4" spans="2:8" x14ac:dyDescent="0.25">
      <c r="B4" t="s">
        <v>174</v>
      </c>
      <c r="C4" t="s">
        <v>206</v>
      </c>
      <c r="D4" s="53" t="s">
        <v>224</v>
      </c>
      <c r="E4" s="32">
        <v>2564165</v>
      </c>
    </row>
    <row r="5" spans="2:8" x14ac:dyDescent="0.25">
      <c r="B5" t="s">
        <v>171</v>
      </c>
      <c r="C5" t="s">
        <v>207</v>
      </c>
      <c r="D5" s="53" t="s">
        <v>225</v>
      </c>
      <c r="E5" s="32">
        <v>1443535</v>
      </c>
      <c r="G5" s="24" t="s">
        <v>176</v>
      </c>
      <c r="H5" s="38" t="s">
        <v>169</v>
      </c>
    </row>
    <row r="6" spans="2:8" x14ac:dyDescent="0.25">
      <c r="B6" t="s">
        <v>173</v>
      </c>
      <c r="C6" t="s">
        <v>212</v>
      </c>
      <c r="D6" s="53" t="s">
        <v>226</v>
      </c>
      <c r="E6" s="32">
        <v>2834014</v>
      </c>
      <c r="G6" s="24" t="s">
        <v>183</v>
      </c>
      <c r="H6" s="38" t="s">
        <v>205</v>
      </c>
    </row>
    <row r="7" spans="2:8" x14ac:dyDescent="0.25">
      <c r="B7" t="s">
        <v>170</v>
      </c>
      <c r="C7" t="s">
        <v>216</v>
      </c>
      <c r="D7" s="53" t="s">
        <v>227</v>
      </c>
      <c r="E7" s="32">
        <v>1119596</v>
      </c>
      <c r="G7" s="24" t="s">
        <v>184</v>
      </c>
      <c r="H7" s="39">
        <f>SUMPRODUCT(($B$3:$B$45=H5)*($C$3:$C$45=H6)*($E$3:$E$45))</f>
        <v>1697697</v>
      </c>
    </row>
    <row r="8" spans="2:8" x14ac:dyDescent="0.25">
      <c r="B8" t="s">
        <v>173</v>
      </c>
      <c r="C8" t="s">
        <v>218</v>
      </c>
      <c r="D8" s="53" t="s">
        <v>228</v>
      </c>
      <c r="E8" s="32">
        <v>2949401</v>
      </c>
      <c r="G8" s="27" t="s">
        <v>185</v>
      </c>
      <c r="H8" s="39" t="str">
        <f>INDEX(D:D,SUMPRODUCT(($B$3:$B$45=H5)*($C$3:$C$45=H6)*(ROW($E$3:$E$45))),1)</f>
        <v>Федор Еромолаев</v>
      </c>
    </row>
    <row r="9" spans="2:8" x14ac:dyDescent="0.25">
      <c r="B9" t="s">
        <v>173</v>
      </c>
      <c r="C9" t="s">
        <v>211</v>
      </c>
      <c r="D9" s="53" t="s">
        <v>229</v>
      </c>
      <c r="E9" s="32">
        <v>2371246</v>
      </c>
    </row>
    <row r="10" spans="2:8" x14ac:dyDescent="0.25">
      <c r="B10" t="s">
        <v>174</v>
      </c>
      <c r="C10" t="s">
        <v>213</v>
      </c>
      <c r="D10" s="53" t="s">
        <v>230</v>
      </c>
      <c r="E10" s="32">
        <v>3043499</v>
      </c>
    </row>
    <row r="11" spans="2:8" x14ac:dyDescent="0.25">
      <c r="B11" t="s">
        <v>173</v>
      </c>
      <c r="C11" t="s">
        <v>214</v>
      </c>
      <c r="D11" s="53" t="s">
        <v>231</v>
      </c>
      <c r="E11" s="32">
        <v>1621716</v>
      </c>
    </row>
    <row r="12" spans="2:8" x14ac:dyDescent="0.25">
      <c r="B12" t="s">
        <v>169</v>
      </c>
      <c r="C12" t="s">
        <v>205</v>
      </c>
      <c r="D12" s="53" t="s">
        <v>232</v>
      </c>
      <c r="E12" s="32">
        <v>1697697</v>
      </c>
    </row>
    <row r="13" spans="2:8" x14ac:dyDescent="0.25">
      <c r="B13" t="s">
        <v>173</v>
      </c>
      <c r="C13" t="s">
        <v>219</v>
      </c>
      <c r="D13" s="55" t="s">
        <v>234</v>
      </c>
      <c r="E13" s="32">
        <v>1458914</v>
      </c>
    </row>
    <row r="14" spans="2:8" x14ac:dyDescent="0.25">
      <c r="B14" t="s">
        <v>171</v>
      </c>
      <c r="C14" t="s">
        <v>211</v>
      </c>
      <c r="D14" t="s">
        <v>235</v>
      </c>
      <c r="E14" s="32">
        <v>2922128</v>
      </c>
    </row>
    <row r="15" spans="2:8" x14ac:dyDescent="0.25">
      <c r="B15" t="s">
        <v>171</v>
      </c>
      <c r="C15" t="s">
        <v>210</v>
      </c>
      <c r="D15" s="54" t="s">
        <v>236</v>
      </c>
      <c r="E15" s="32">
        <v>3699755</v>
      </c>
    </row>
    <row r="16" spans="2:8" x14ac:dyDescent="0.25">
      <c r="B16" t="s">
        <v>169</v>
      </c>
      <c r="C16" t="s">
        <v>210</v>
      </c>
      <c r="D16" s="54" t="s">
        <v>237</v>
      </c>
      <c r="E16" s="32">
        <v>930133</v>
      </c>
    </row>
    <row r="17" spans="2:5" x14ac:dyDescent="0.25">
      <c r="B17" t="s">
        <v>170</v>
      </c>
      <c r="C17" t="s">
        <v>214</v>
      </c>
      <c r="D17" s="54" t="s">
        <v>233</v>
      </c>
      <c r="E17" s="32">
        <v>2609312</v>
      </c>
    </row>
    <row r="18" spans="2:5" x14ac:dyDescent="0.25">
      <c r="B18" t="s">
        <v>169</v>
      </c>
      <c r="C18" t="s">
        <v>216</v>
      </c>
      <c r="D18" s="54" t="s">
        <v>238</v>
      </c>
      <c r="E18" s="32">
        <v>1660933</v>
      </c>
    </row>
    <row r="19" spans="2:5" x14ac:dyDescent="0.25">
      <c r="B19" t="s">
        <v>173</v>
      </c>
      <c r="C19" t="s">
        <v>210</v>
      </c>
      <c r="D19" s="54" t="s">
        <v>239</v>
      </c>
      <c r="E19" s="32">
        <v>644173</v>
      </c>
    </row>
    <row r="20" spans="2:5" x14ac:dyDescent="0.25">
      <c r="B20" t="s">
        <v>170</v>
      </c>
      <c r="C20" t="s">
        <v>212</v>
      </c>
      <c r="D20" s="54" t="s">
        <v>240</v>
      </c>
      <c r="E20" s="32">
        <v>4487298</v>
      </c>
    </row>
    <row r="21" spans="2:5" x14ac:dyDescent="0.25">
      <c r="B21" t="s">
        <v>173</v>
      </c>
      <c r="C21" t="s">
        <v>209</v>
      </c>
      <c r="D21" s="54" t="s">
        <v>241</v>
      </c>
      <c r="E21" s="32">
        <v>1391005</v>
      </c>
    </row>
    <row r="22" spans="2:5" x14ac:dyDescent="0.25">
      <c r="B22" t="s">
        <v>171</v>
      </c>
      <c r="C22" t="s">
        <v>216</v>
      </c>
      <c r="D22" s="54" t="s">
        <v>242</v>
      </c>
      <c r="E22" s="32">
        <v>3660829</v>
      </c>
    </row>
    <row r="23" spans="2:5" x14ac:dyDescent="0.25">
      <c r="B23" t="s">
        <v>174</v>
      </c>
      <c r="C23" t="s">
        <v>220</v>
      </c>
      <c r="D23" s="54" t="s">
        <v>243</v>
      </c>
      <c r="E23" s="32">
        <v>2478092</v>
      </c>
    </row>
    <row r="24" spans="2:5" x14ac:dyDescent="0.25">
      <c r="B24" t="s">
        <v>174</v>
      </c>
      <c r="C24" t="s">
        <v>221</v>
      </c>
      <c r="D24" s="54" t="s">
        <v>244</v>
      </c>
      <c r="E24" s="32">
        <v>4873822</v>
      </c>
    </row>
    <row r="25" spans="2:5" x14ac:dyDescent="0.25">
      <c r="B25" t="s">
        <v>169</v>
      </c>
      <c r="C25" t="s">
        <v>221</v>
      </c>
      <c r="D25" s="54" t="s">
        <v>245</v>
      </c>
      <c r="E25" s="32">
        <v>896582</v>
      </c>
    </row>
    <row r="26" spans="2:5" x14ac:dyDescent="0.25">
      <c r="B26" t="s">
        <v>174</v>
      </c>
      <c r="C26" t="s">
        <v>222</v>
      </c>
      <c r="D26" s="54" t="s">
        <v>246</v>
      </c>
      <c r="E26" s="32">
        <v>2069914</v>
      </c>
    </row>
    <row r="27" spans="2:5" x14ac:dyDescent="0.25">
      <c r="B27" t="s">
        <v>173</v>
      </c>
      <c r="C27" t="s">
        <v>222</v>
      </c>
      <c r="D27" s="54" t="s">
        <v>247</v>
      </c>
      <c r="E27" s="32">
        <v>3653753</v>
      </c>
    </row>
    <row r="28" spans="2:5" x14ac:dyDescent="0.25">
      <c r="B28" t="s">
        <v>174</v>
      </c>
      <c r="C28" t="s">
        <v>208</v>
      </c>
      <c r="D28" s="54" t="s">
        <v>248</v>
      </c>
      <c r="E28" s="32">
        <v>4201604</v>
      </c>
    </row>
    <row r="29" spans="2:5" x14ac:dyDescent="0.25">
      <c r="B29" t="s">
        <v>204</v>
      </c>
      <c r="C29" t="s">
        <v>209</v>
      </c>
      <c r="D29" s="54" t="s">
        <v>249</v>
      </c>
      <c r="E29" s="32">
        <v>1767245</v>
      </c>
    </row>
    <row r="30" spans="2:5" x14ac:dyDescent="0.25">
      <c r="B30" t="s">
        <v>204</v>
      </c>
      <c r="C30" t="s">
        <v>217</v>
      </c>
      <c r="D30" s="54" t="s">
        <v>250</v>
      </c>
      <c r="E30" s="32">
        <v>694393</v>
      </c>
    </row>
    <row r="31" spans="2:5" x14ac:dyDescent="0.25">
      <c r="B31" t="s">
        <v>174</v>
      </c>
      <c r="C31" t="s">
        <v>216</v>
      </c>
      <c r="D31" s="54" t="s">
        <v>251</v>
      </c>
      <c r="E31" s="32">
        <v>5759059</v>
      </c>
    </row>
    <row r="32" spans="2:5" x14ac:dyDescent="0.25">
      <c r="B32" t="s">
        <v>170</v>
      </c>
      <c r="C32" t="s">
        <v>216</v>
      </c>
      <c r="D32" s="54" t="s">
        <v>252</v>
      </c>
      <c r="E32" s="32">
        <v>3122720</v>
      </c>
    </row>
    <row r="33" spans="2:5" x14ac:dyDescent="0.25">
      <c r="B33" t="s">
        <v>174</v>
      </c>
      <c r="C33" t="s">
        <v>206</v>
      </c>
      <c r="D33" s="54" t="s">
        <v>253</v>
      </c>
      <c r="E33" s="32">
        <v>3269238</v>
      </c>
    </row>
    <row r="34" spans="2:5" x14ac:dyDescent="0.25">
      <c r="B34" t="s">
        <v>169</v>
      </c>
      <c r="C34" t="s">
        <v>215</v>
      </c>
      <c r="D34" s="54" t="s">
        <v>254</v>
      </c>
      <c r="E34" s="32">
        <v>1189542</v>
      </c>
    </row>
    <row r="35" spans="2:5" x14ac:dyDescent="0.25">
      <c r="B35" t="s">
        <v>204</v>
      </c>
      <c r="C35" t="s">
        <v>214</v>
      </c>
      <c r="D35" s="54" t="s">
        <v>255</v>
      </c>
      <c r="E35" s="32">
        <v>2012197</v>
      </c>
    </row>
    <row r="36" spans="2:5" x14ac:dyDescent="0.25">
      <c r="B36" t="s">
        <v>204</v>
      </c>
      <c r="C36" t="s">
        <v>218</v>
      </c>
      <c r="D36" s="54" t="s">
        <v>256</v>
      </c>
      <c r="E36" s="32">
        <v>1971418</v>
      </c>
    </row>
    <row r="37" spans="2:5" x14ac:dyDescent="0.25">
      <c r="B37" t="s">
        <v>174</v>
      </c>
      <c r="C37" t="s">
        <v>217</v>
      </c>
      <c r="D37" s="56" t="s">
        <v>257</v>
      </c>
      <c r="E37" s="32">
        <v>2189297</v>
      </c>
    </row>
    <row r="38" spans="2:5" x14ac:dyDescent="0.25">
      <c r="B38" t="s">
        <v>170</v>
      </c>
      <c r="C38" t="s">
        <v>213</v>
      </c>
      <c r="D38" s="56" t="s">
        <v>258</v>
      </c>
      <c r="E38" s="32">
        <v>4822701</v>
      </c>
    </row>
    <row r="39" spans="2:5" x14ac:dyDescent="0.25">
      <c r="B39" t="s">
        <v>174</v>
      </c>
      <c r="C39" t="s">
        <v>211</v>
      </c>
      <c r="D39" s="56" t="s">
        <v>259</v>
      </c>
      <c r="E39" s="32">
        <v>2346810</v>
      </c>
    </row>
    <row r="40" spans="2:5" x14ac:dyDescent="0.25">
      <c r="B40" t="s">
        <v>174</v>
      </c>
      <c r="C40" t="s">
        <v>210</v>
      </c>
      <c r="D40" s="56" t="s">
        <v>260</v>
      </c>
      <c r="E40" s="32">
        <v>3443800</v>
      </c>
    </row>
    <row r="41" spans="2:5" x14ac:dyDescent="0.25">
      <c r="B41" t="s">
        <v>170</v>
      </c>
      <c r="C41" t="s">
        <v>209</v>
      </c>
      <c r="D41" s="56" t="s">
        <v>261</v>
      </c>
      <c r="E41" s="32">
        <v>1738454</v>
      </c>
    </row>
    <row r="42" spans="2:5" x14ac:dyDescent="0.25">
      <c r="B42" t="s">
        <v>169</v>
      </c>
      <c r="C42" t="s">
        <v>206</v>
      </c>
      <c r="D42" s="56" t="s">
        <v>262</v>
      </c>
      <c r="E42" s="32">
        <v>2592508</v>
      </c>
    </row>
    <row r="43" spans="2:5" x14ac:dyDescent="0.25">
      <c r="B43" t="s">
        <v>174</v>
      </c>
      <c r="C43" t="s">
        <v>218</v>
      </c>
      <c r="D43" t="s">
        <v>263</v>
      </c>
      <c r="E43" s="32">
        <v>2581251</v>
      </c>
    </row>
    <row r="44" spans="2:5" x14ac:dyDescent="0.25">
      <c r="B44" t="s">
        <v>171</v>
      </c>
      <c r="C44" t="s">
        <v>208</v>
      </c>
      <c r="D44" t="s">
        <v>264</v>
      </c>
      <c r="E44" s="32">
        <v>3825424</v>
      </c>
    </row>
    <row r="45" spans="2:5" x14ac:dyDescent="0.25">
      <c r="B45" t="s">
        <v>174</v>
      </c>
      <c r="C45" t="s">
        <v>212</v>
      </c>
      <c r="D45" t="s">
        <v>265</v>
      </c>
      <c r="E45" s="32">
        <v>2077279</v>
      </c>
    </row>
  </sheetData>
  <sortState ref="B3:F45">
    <sortCondition ref="F3:F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2:G15"/>
  <sheetViews>
    <sheetView tabSelected="1" workbookViewId="0">
      <selection activeCell="G6" sqref="G6"/>
    </sheetView>
  </sheetViews>
  <sheetFormatPr defaultRowHeight="15" x14ac:dyDescent="0.25"/>
  <cols>
    <col min="1" max="1" width="4.5703125" customWidth="1"/>
    <col min="2" max="2" width="11.42578125" bestFit="1" customWidth="1"/>
    <col min="3" max="3" width="12.28515625" customWidth="1"/>
    <col min="4" max="4" width="9.42578125" bestFit="1" customWidth="1"/>
    <col min="5" max="5" width="4.5703125" customWidth="1"/>
    <col min="6" max="6" width="13.28515625" customWidth="1"/>
    <col min="7" max="7" width="13.5703125" customWidth="1"/>
  </cols>
  <sheetData>
    <row r="2" spans="2:7" x14ac:dyDescent="0.25">
      <c r="B2" s="51" t="s">
        <v>200</v>
      </c>
      <c r="C2" s="51" t="s">
        <v>198</v>
      </c>
      <c r="D2" s="51"/>
    </row>
    <row r="3" spans="2:7" x14ac:dyDescent="0.25">
      <c r="B3" s="52" t="s">
        <v>199</v>
      </c>
      <c r="C3" s="52" t="s">
        <v>197</v>
      </c>
      <c r="D3" s="52" t="s">
        <v>186</v>
      </c>
    </row>
    <row r="4" spans="2:7" x14ac:dyDescent="0.25">
      <c r="B4" t="s">
        <v>187</v>
      </c>
      <c r="C4" s="32">
        <v>53</v>
      </c>
      <c r="D4" s="3">
        <v>555.73</v>
      </c>
      <c r="F4" s="51" t="s">
        <v>201</v>
      </c>
      <c r="G4" s="51" t="s">
        <v>201</v>
      </c>
    </row>
    <row r="5" spans="2:7" x14ac:dyDescent="0.25">
      <c r="B5" t="s">
        <v>188</v>
      </c>
      <c r="C5" s="32">
        <v>160</v>
      </c>
      <c r="D5" s="3">
        <v>940.56</v>
      </c>
      <c r="F5" s="52" t="s">
        <v>203</v>
      </c>
      <c r="G5" s="52" t="s">
        <v>202</v>
      </c>
    </row>
    <row r="6" spans="2:7" x14ac:dyDescent="0.25">
      <c r="B6" t="s">
        <v>189</v>
      </c>
      <c r="C6" s="32">
        <v>40</v>
      </c>
      <c r="D6" s="3">
        <v>3026.1</v>
      </c>
      <c r="F6" t="str">
        <f>INDEX(B:B,COUNTA(B:B)+1)</f>
        <v>А-6513</v>
      </c>
      <c r="G6" s="3">
        <f>LOOKUP(9.99E+307,D:D)</f>
        <v>3326.98</v>
      </c>
    </row>
    <row r="7" spans="2:7" x14ac:dyDescent="0.25">
      <c r="B7" t="s">
        <v>190</v>
      </c>
      <c r="C7" s="32">
        <v>146</v>
      </c>
      <c r="D7" s="3">
        <v>4885.9399999999996</v>
      </c>
    </row>
    <row r="8" spans="2:7" x14ac:dyDescent="0.25">
      <c r="B8" t="s">
        <v>191</v>
      </c>
      <c r="C8" s="32">
        <v>84</v>
      </c>
      <c r="D8" s="3">
        <v>969.46</v>
      </c>
    </row>
    <row r="9" spans="2:7" x14ac:dyDescent="0.25">
      <c r="B9" t="s">
        <v>192</v>
      </c>
      <c r="C9" s="32">
        <v>97</v>
      </c>
      <c r="D9" s="3">
        <v>2979.33</v>
      </c>
    </row>
    <row r="10" spans="2:7" x14ac:dyDescent="0.25">
      <c r="B10" t="s">
        <v>193</v>
      </c>
      <c r="C10" s="32">
        <v>200</v>
      </c>
      <c r="D10" s="3">
        <v>2950.74</v>
      </c>
    </row>
    <row r="11" spans="2:7" x14ac:dyDescent="0.25">
      <c r="B11" t="s">
        <v>194</v>
      </c>
      <c r="C11" s="32">
        <v>40</v>
      </c>
      <c r="D11" s="3">
        <v>3970.5</v>
      </c>
      <c r="F11" s="41"/>
    </row>
    <row r="12" spans="2:7" x14ac:dyDescent="0.25">
      <c r="B12" t="s">
        <v>195</v>
      </c>
      <c r="C12" s="32">
        <v>155</v>
      </c>
      <c r="D12" s="3">
        <v>3332.94</v>
      </c>
    </row>
    <row r="13" spans="2:7" x14ac:dyDescent="0.25">
      <c r="B13" t="s">
        <v>196</v>
      </c>
      <c r="C13" s="32">
        <v>75</v>
      </c>
      <c r="D13" s="3">
        <v>3326.98</v>
      </c>
      <c r="F13" s="41"/>
    </row>
    <row r="15" spans="2:7" x14ac:dyDescent="0.25">
      <c r="F15" s="41"/>
      <c r="G15" s="42"/>
    </row>
  </sheetData>
  <sortState ref="B4:E13">
    <sortCondition ref="E4:E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G25"/>
  <sheetViews>
    <sheetView workbookViewId="0">
      <selection activeCell="G8" sqref="G8"/>
    </sheetView>
  </sheetViews>
  <sheetFormatPr defaultRowHeight="15" x14ac:dyDescent="0.25"/>
  <cols>
    <col min="1" max="1" width="4.140625" customWidth="1"/>
    <col min="2" max="2" width="16.85546875" bestFit="1" customWidth="1"/>
    <col min="3" max="3" width="7.42578125" customWidth="1"/>
    <col min="4" max="4" width="12.140625" bestFit="1" customWidth="1"/>
    <col min="5" max="5" width="4.85546875" customWidth="1"/>
    <col min="6" max="6" width="21.5703125" bestFit="1" customWidth="1"/>
    <col min="7" max="7" width="17.28515625" customWidth="1"/>
  </cols>
  <sheetData>
    <row r="2" spans="2:7" x14ac:dyDescent="0.25">
      <c r="B2" s="2" t="s">
        <v>82</v>
      </c>
      <c r="C2" s="2" t="s">
        <v>83</v>
      </c>
      <c r="D2" s="2" t="s">
        <v>84</v>
      </c>
    </row>
    <row r="3" spans="2:7" x14ac:dyDescent="0.25">
      <c r="B3" t="s">
        <v>90</v>
      </c>
      <c r="C3" t="s">
        <v>4</v>
      </c>
      <c r="D3">
        <v>6493</v>
      </c>
    </row>
    <row r="4" spans="2:7" x14ac:dyDescent="0.25">
      <c r="B4" t="s">
        <v>91</v>
      </c>
      <c r="C4" t="s">
        <v>1</v>
      </c>
      <c r="D4">
        <v>4369</v>
      </c>
      <c r="F4" s="24" t="s">
        <v>85</v>
      </c>
      <c r="G4" s="25" t="s">
        <v>23</v>
      </c>
    </row>
    <row r="5" spans="2:7" x14ac:dyDescent="0.25">
      <c r="B5" t="s">
        <v>97</v>
      </c>
      <c r="C5" t="s">
        <v>22</v>
      </c>
      <c r="D5">
        <v>4505</v>
      </c>
      <c r="F5" s="24" t="s">
        <v>86</v>
      </c>
      <c r="G5" s="26" t="str">
        <f>INDEX(B3:D25,MATCH(G4,C3:C25,FALSE),1)</f>
        <v>Манчестер</v>
      </c>
    </row>
    <row r="6" spans="2:7" x14ac:dyDescent="0.25">
      <c r="B6" t="s">
        <v>92</v>
      </c>
      <c r="C6" t="s">
        <v>11</v>
      </c>
      <c r="D6">
        <v>8745</v>
      </c>
      <c r="F6" s="24" t="s">
        <v>87</v>
      </c>
      <c r="G6" s="26">
        <f>INDEX(B3:D25,MATCH(G4,C3:C25,FALSE),3)</f>
        <v>2608</v>
      </c>
    </row>
    <row r="7" spans="2:7" x14ac:dyDescent="0.25">
      <c r="B7" t="s">
        <v>93</v>
      </c>
      <c r="C7" t="s">
        <v>20</v>
      </c>
      <c r="D7">
        <v>6273</v>
      </c>
    </row>
    <row r="8" spans="2:7" x14ac:dyDescent="0.25">
      <c r="B8" t="s">
        <v>94</v>
      </c>
      <c r="C8" t="s">
        <v>17</v>
      </c>
      <c r="D8">
        <v>9384</v>
      </c>
      <c r="F8" s="27" t="s">
        <v>88</v>
      </c>
      <c r="G8" s="26" t="str">
        <f>LOOKUP(G4,C3:C25,B3:B25)</f>
        <v>Манчестер</v>
      </c>
    </row>
    <row r="9" spans="2:7" x14ac:dyDescent="0.25">
      <c r="B9" t="s">
        <v>95</v>
      </c>
      <c r="C9" t="s">
        <v>5</v>
      </c>
      <c r="D9">
        <v>5654</v>
      </c>
      <c r="F9" s="27" t="s">
        <v>89</v>
      </c>
      <c r="G9" s="26">
        <f>LOOKUP(G4,C3:C25,D3:D25)</f>
        <v>2608</v>
      </c>
    </row>
    <row r="10" spans="2:7" x14ac:dyDescent="0.25">
      <c r="B10" t="s">
        <v>96</v>
      </c>
      <c r="C10" t="s">
        <v>18</v>
      </c>
      <c r="D10">
        <v>3972</v>
      </c>
    </row>
    <row r="11" spans="2:7" x14ac:dyDescent="0.25">
      <c r="B11" t="s">
        <v>98</v>
      </c>
      <c r="C11" t="s">
        <v>6</v>
      </c>
      <c r="D11">
        <v>8816</v>
      </c>
    </row>
    <row r="12" spans="2:7" x14ac:dyDescent="0.25">
      <c r="B12" t="s">
        <v>99</v>
      </c>
      <c r="C12" t="s">
        <v>19</v>
      </c>
      <c r="D12">
        <v>3331</v>
      </c>
    </row>
    <row r="13" spans="2:7" x14ac:dyDescent="0.25">
      <c r="B13" t="s">
        <v>100</v>
      </c>
      <c r="C13" t="s">
        <v>7</v>
      </c>
      <c r="D13">
        <v>3335</v>
      </c>
    </row>
    <row r="14" spans="2:7" x14ac:dyDescent="0.25">
      <c r="B14" t="s">
        <v>101</v>
      </c>
      <c r="C14" t="s">
        <v>23</v>
      </c>
      <c r="D14">
        <v>2608</v>
      </c>
    </row>
    <row r="15" spans="2:7" x14ac:dyDescent="0.25">
      <c r="B15" t="s">
        <v>102</v>
      </c>
      <c r="C15" t="s">
        <v>14</v>
      </c>
      <c r="D15">
        <v>4122</v>
      </c>
    </row>
    <row r="16" spans="2:7" x14ac:dyDescent="0.25">
      <c r="B16" t="s">
        <v>103</v>
      </c>
      <c r="C16" t="s">
        <v>8</v>
      </c>
      <c r="D16">
        <v>1022</v>
      </c>
    </row>
    <row r="17" spans="2:4" x14ac:dyDescent="0.25">
      <c r="B17" t="s">
        <v>104</v>
      </c>
      <c r="C17" t="s">
        <v>16</v>
      </c>
      <c r="D17">
        <v>7681</v>
      </c>
    </row>
    <row r="18" spans="2:4" x14ac:dyDescent="0.25">
      <c r="B18" t="s">
        <v>105</v>
      </c>
      <c r="C18" t="s">
        <v>21</v>
      </c>
      <c r="D18">
        <v>8567</v>
      </c>
    </row>
    <row r="19" spans="2:4" x14ac:dyDescent="0.25">
      <c r="B19" t="s">
        <v>106</v>
      </c>
      <c r="C19" t="s">
        <v>12</v>
      </c>
      <c r="D19">
        <v>3507</v>
      </c>
    </row>
    <row r="20" spans="2:4" x14ac:dyDescent="0.25">
      <c r="B20" t="s">
        <v>107</v>
      </c>
      <c r="C20" t="s">
        <v>10</v>
      </c>
      <c r="D20">
        <v>7326</v>
      </c>
    </row>
    <row r="21" spans="2:4" x14ac:dyDescent="0.25">
      <c r="B21" t="s">
        <v>108</v>
      </c>
      <c r="C21" t="s">
        <v>15</v>
      </c>
      <c r="D21">
        <v>4643</v>
      </c>
    </row>
    <row r="22" spans="2:4" x14ac:dyDescent="0.25">
      <c r="B22" t="s">
        <v>109</v>
      </c>
      <c r="C22" t="s">
        <v>13</v>
      </c>
      <c r="D22">
        <v>8304</v>
      </c>
    </row>
    <row r="23" spans="2:4" x14ac:dyDescent="0.25">
      <c r="B23" t="s">
        <v>110</v>
      </c>
      <c r="C23" t="s">
        <v>2</v>
      </c>
      <c r="D23">
        <v>7676</v>
      </c>
    </row>
    <row r="24" spans="2:4" x14ac:dyDescent="0.25">
      <c r="B24" t="s">
        <v>111</v>
      </c>
      <c r="C24" t="s">
        <v>3</v>
      </c>
      <c r="D24">
        <v>4938</v>
      </c>
    </row>
    <row r="25" spans="2:4" x14ac:dyDescent="0.25">
      <c r="B25" t="s">
        <v>112</v>
      </c>
      <c r="C25" t="s">
        <v>9</v>
      </c>
      <c r="D25">
        <v>1701</v>
      </c>
    </row>
  </sheetData>
  <sortState ref="B3:C25">
    <sortCondition ref="C3:C25"/>
  </sortState>
  <dataValidations count="1">
    <dataValidation type="list" allowBlank="1" showInputMessage="1" showErrorMessage="1" sqref="G4" xr:uid="{00000000-0002-0000-0100-000000000000}">
      <formula1>$C$3:$C$25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L8"/>
  <sheetViews>
    <sheetView workbookViewId="0">
      <selection activeCell="G32" sqref="G32"/>
    </sheetView>
  </sheetViews>
  <sheetFormatPr defaultRowHeight="15" x14ac:dyDescent="0.25"/>
  <cols>
    <col min="1" max="1" width="3.140625" customWidth="1"/>
    <col min="2" max="2" width="20.5703125" bestFit="1" customWidth="1"/>
    <col min="3" max="12" width="11.28515625" customWidth="1"/>
  </cols>
  <sheetData>
    <row r="2" spans="2:12" x14ac:dyDescent="0.25">
      <c r="B2" s="28" t="s">
        <v>82</v>
      </c>
      <c r="C2" s="28" t="s">
        <v>126</v>
      </c>
      <c r="D2" s="28" t="s">
        <v>116</v>
      </c>
      <c r="E2" s="28" t="s">
        <v>117</v>
      </c>
      <c r="F2" s="28" t="s">
        <v>118</v>
      </c>
      <c r="G2" s="28" t="s">
        <v>119</v>
      </c>
      <c r="H2" s="28" t="s">
        <v>120</v>
      </c>
      <c r="I2" s="28" t="s">
        <v>121</v>
      </c>
      <c r="J2" s="28" t="s">
        <v>122</v>
      </c>
      <c r="K2" s="28" t="s">
        <v>123</v>
      </c>
      <c r="L2" s="28" t="s">
        <v>124</v>
      </c>
    </row>
    <row r="3" spans="2:12" x14ac:dyDescent="0.25">
      <c r="B3" t="s">
        <v>113</v>
      </c>
      <c r="C3" s="30">
        <v>10</v>
      </c>
      <c r="D3" s="30">
        <v>23</v>
      </c>
      <c r="E3" s="30">
        <v>9</v>
      </c>
      <c r="F3" s="30">
        <v>13</v>
      </c>
      <c r="G3" s="30">
        <v>9</v>
      </c>
      <c r="H3" s="30">
        <v>23</v>
      </c>
      <c r="I3" s="30">
        <v>28</v>
      </c>
      <c r="J3" s="30">
        <v>-11</v>
      </c>
      <c r="K3" s="30">
        <v>5</v>
      </c>
      <c r="L3" s="30">
        <v>4</v>
      </c>
    </row>
    <row r="5" spans="2:12" x14ac:dyDescent="0.25">
      <c r="B5" s="29" t="s">
        <v>114</v>
      </c>
      <c r="C5" s="31" t="s">
        <v>118</v>
      </c>
    </row>
    <row r="6" spans="2:12" x14ac:dyDescent="0.25">
      <c r="B6" s="29" t="s">
        <v>115</v>
      </c>
      <c r="C6" s="31">
        <f>HLOOKUP(C5,C2:L3,2,FALSE)</f>
        <v>13</v>
      </c>
    </row>
    <row r="7" spans="2:12" x14ac:dyDescent="0.25">
      <c r="B7" s="29"/>
      <c r="C7" s="30"/>
    </row>
    <row r="8" spans="2:12" x14ac:dyDescent="0.25">
      <c r="B8" s="29" t="s">
        <v>125</v>
      </c>
      <c r="C8" s="31">
        <f>INDEX(C2:L3,2,MATCH(C5,C2:L2,FALSE))</f>
        <v>13</v>
      </c>
    </row>
  </sheetData>
  <sortState ref="C6:G395">
    <sortCondition ref="G6:G395"/>
  </sortState>
  <dataValidations count="1">
    <dataValidation type="list" allowBlank="1" showInputMessage="1" showErrorMessage="1" sqref="C5" xr:uid="{00000000-0002-0000-0200-000000000000}">
      <formula1>$C$2:$L$2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24"/>
  <sheetViews>
    <sheetView workbookViewId="0">
      <selection activeCell="D3" sqref="D3"/>
    </sheetView>
  </sheetViews>
  <sheetFormatPr defaultRowHeight="15" x14ac:dyDescent="0.25"/>
  <cols>
    <col min="1" max="1" width="1.85546875" customWidth="1"/>
    <col min="2" max="2" width="25.28515625" bestFit="1" customWidth="1"/>
    <col min="3" max="3" width="20.140625" bestFit="1" customWidth="1"/>
    <col min="4" max="4" width="15.140625" bestFit="1" customWidth="1"/>
    <col min="5" max="5" width="3.140625" customWidth="1"/>
    <col min="6" max="6" width="20.140625" bestFit="1" customWidth="1"/>
    <col min="7" max="7" width="17.5703125" bestFit="1" customWidth="1"/>
  </cols>
  <sheetData>
    <row r="2" spans="2:7" x14ac:dyDescent="0.25">
      <c r="B2" s="2" t="s">
        <v>127</v>
      </c>
      <c r="C2" s="2" t="s">
        <v>128</v>
      </c>
      <c r="D2" s="2" t="s">
        <v>129</v>
      </c>
      <c r="F2" s="2" t="s">
        <v>130</v>
      </c>
      <c r="G2" s="2" t="s">
        <v>131</v>
      </c>
    </row>
    <row r="3" spans="2:7" x14ac:dyDescent="0.25">
      <c r="B3" t="s">
        <v>132</v>
      </c>
      <c r="C3" t="s">
        <v>27</v>
      </c>
      <c r="D3" s="23" t="e">
        <f t="shared" ref="D3:D24" si="0">VLOOKUP(C3,$F$3:$G$11,2,FALSE)</f>
        <v>#N/A</v>
      </c>
      <c r="F3" t="s">
        <v>45</v>
      </c>
      <c r="G3" s="23">
        <v>33247178</v>
      </c>
    </row>
    <row r="4" spans="2:7" x14ac:dyDescent="0.25">
      <c r="B4" t="s">
        <v>133</v>
      </c>
      <c r="C4" t="s">
        <v>28</v>
      </c>
      <c r="D4" s="23">
        <f t="shared" si="0"/>
        <v>62157026</v>
      </c>
      <c r="F4" t="s">
        <v>34</v>
      </c>
      <c r="G4" s="23">
        <v>45302040</v>
      </c>
    </row>
    <row r="5" spans="2:7" x14ac:dyDescent="0.25">
      <c r="B5" t="s">
        <v>134</v>
      </c>
      <c r="C5" t="s">
        <v>29</v>
      </c>
      <c r="D5" s="23" t="e">
        <f t="shared" si="0"/>
        <v>#N/A</v>
      </c>
      <c r="F5" t="s">
        <v>31</v>
      </c>
      <c r="G5" s="23">
        <v>51744999</v>
      </c>
    </row>
    <row r="6" spans="2:7" x14ac:dyDescent="0.25">
      <c r="B6" t="s">
        <v>135</v>
      </c>
      <c r="C6" t="s">
        <v>30</v>
      </c>
      <c r="D6" s="23" t="e">
        <f t="shared" si="0"/>
        <v>#N/A</v>
      </c>
      <c r="F6" t="s">
        <v>28</v>
      </c>
      <c r="G6" s="23">
        <v>62157026</v>
      </c>
    </row>
    <row r="7" spans="2:7" x14ac:dyDescent="0.25">
      <c r="B7" t="s">
        <v>136</v>
      </c>
      <c r="C7" t="s">
        <v>32</v>
      </c>
      <c r="D7" s="23" t="e">
        <f t="shared" si="0"/>
        <v>#N/A</v>
      </c>
      <c r="F7" t="s">
        <v>26</v>
      </c>
      <c r="G7" s="23">
        <v>68970486</v>
      </c>
    </row>
    <row r="8" spans="2:7" x14ac:dyDescent="0.25">
      <c r="B8" t="s">
        <v>137</v>
      </c>
      <c r="C8" t="s">
        <v>38</v>
      </c>
      <c r="D8" s="23" t="e">
        <f t="shared" si="0"/>
        <v>#N/A</v>
      </c>
      <c r="F8" t="s">
        <v>40</v>
      </c>
      <c r="G8" s="23">
        <v>36615404</v>
      </c>
    </row>
    <row r="9" spans="2:7" x14ac:dyDescent="0.25">
      <c r="B9" t="s">
        <v>138</v>
      </c>
      <c r="C9" t="s">
        <v>37</v>
      </c>
      <c r="D9" s="23">
        <f t="shared" si="0"/>
        <v>40266501</v>
      </c>
      <c r="F9" t="s">
        <v>42</v>
      </c>
      <c r="G9" s="23">
        <v>35212678</v>
      </c>
    </row>
    <row r="10" spans="2:7" x14ac:dyDescent="0.25">
      <c r="B10" t="s">
        <v>139</v>
      </c>
      <c r="C10" t="s">
        <v>26</v>
      </c>
      <c r="D10" s="23">
        <f t="shared" si="0"/>
        <v>68970486</v>
      </c>
      <c r="F10" t="s">
        <v>37</v>
      </c>
      <c r="G10" s="23">
        <v>40266501</v>
      </c>
    </row>
    <row r="11" spans="2:7" x14ac:dyDescent="0.25">
      <c r="B11" t="s">
        <v>140</v>
      </c>
      <c r="C11" t="s">
        <v>33</v>
      </c>
      <c r="D11" s="23" t="e">
        <f t="shared" si="0"/>
        <v>#N/A</v>
      </c>
      <c r="F11" t="s">
        <v>41</v>
      </c>
      <c r="G11" s="23">
        <v>36325782</v>
      </c>
    </row>
    <row r="12" spans="2:7" x14ac:dyDescent="0.25">
      <c r="B12" t="s">
        <v>141</v>
      </c>
      <c r="C12" t="s">
        <v>45</v>
      </c>
      <c r="D12" s="23">
        <f t="shared" si="0"/>
        <v>33247178</v>
      </c>
      <c r="G12" s="23"/>
    </row>
    <row r="13" spans="2:7" x14ac:dyDescent="0.25">
      <c r="B13" t="s">
        <v>46</v>
      </c>
      <c r="C13" t="s">
        <v>35</v>
      </c>
      <c r="D13" s="23" t="e">
        <f t="shared" si="0"/>
        <v>#N/A</v>
      </c>
      <c r="G13" s="23"/>
    </row>
    <row r="14" spans="2:7" x14ac:dyDescent="0.25">
      <c r="B14" t="s">
        <v>142</v>
      </c>
      <c r="C14" t="s">
        <v>36</v>
      </c>
      <c r="D14" s="23" t="e">
        <f t="shared" si="0"/>
        <v>#N/A</v>
      </c>
      <c r="G14" s="23"/>
    </row>
    <row r="15" spans="2:7" x14ac:dyDescent="0.25">
      <c r="B15" t="s">
        <v>143</v>
      </c>
      <c r="C15" t="s">
        <v>34</v>
      </c>
      <c r="D15" s="23">
        <f t="shared" si="0"/>
        <v>45302040</v>
      </c>
      <c r="G15" s="23"/>
    </row>
    <row r="16" spans="2:7" x14ac:dyDescent="0.25">
      <c r="B16" t="s">
        <v>144</v>
      </c>
      <c r="C16" t="s">
        <v>31</v>
      </c>
      <c r="D16" s="23">
        <f t="shared" si="0"/>
        <v>51744999</v>
      </c>
      <c r="G16" s="23"/>
    </row>
    <row r="17" spans="2:7" x14ac:dyDescent="0.25">
      <c r="B17" t="s">
        <v>145</v>
      </c>
      <c r="C17" t="s">
        <v>42</v>
      </c>
      <c r="D17" s="23">
        <f t="shared" si="0"/>
        <v>35212678</v>
      </c>
      <c r="G17" s="23"/>
    </row>
    <row r="18" spans="2:7" x14ac:dyDescent="0.25">
      <c r="B18" t="s">
        <v>146</v>
      </c>
      <c r="C18" t="s">
        <v>39</v>
      </c>
      <c r="D18" s="23" t="e">
        <f t="shared" si="0"/>
        <v>#N/A</v>
      </c>
      <c r="G18" s="23"/>
    </row>
    <row r="19" spans="2:7" x14ac:dyDescent="0.25">
      <c r="B19" t="s">
        <v>147</v>
      </c>
      <c r="C19" t="s">
        <v>24</v>
      </c>
      <c r="D19" s="23" t="e">
        <f t="shared" si="0"/>
        <v>#N/A</v>
      </c>
      <c r="G19" s="23"/>
    </row>
    <row r="20" spans="2:7" x14ac:dyDescent="0.25">
      <c r="B20" t="s">
        <v>148</v>
      </c>
      <c r="C20" t="s">
        <v>43</v>
      </c>
      <c r="D20" s="23" t="e">
        <f t="shared" si="0"/>
        <v>#N/A</v>
      </c>
      <c r="G20" s="23"/>
    </row>
    <row r="21" spans="2:7" x14ac:dyDescent="0.25">
      <c r="B21" t="s">
        <v>149</v>
      </c>
      <c r="C21" t="s">
        <v>41</v>
      </c>
      <c r="D21" s="23">
        <f t="shared" si="0"/>
        <v>36325782</v>
      </c>
      <c r="G21" s="23"/>
    </row>
    <row r="22" spans="2:7" x14ac:dyDescent="0.25">
      <c r="B22" t="s">
        <v>150</v>
      </c>
      <c r="C22" t="s">
        <v>25</v>
      </c>
      <c r="D22" s="23" t="e">
        <f t="shared" si="0"/>
        <v>#N/A</v>
      </c>
      <c r="G22" s="23"/>
    </row>
    <row r="23" spans="2:7" x14ac:dyDescent="0.25">
      <c r="B23" t="s">
        <v>151</v>
      </c>
      <c r="C23" t="s">
        <v>44</v>
      </c>
      <c r="D23" s="23" t="e">
        <f t="shared" si="0"/>
        <v>#N/A</v>
      </c>
      <c r="G23" s="23"/>
    </row>
    <row r="24" spans="2:7" x14ac:dyDescent="0.25">
      <c r="B24" t="s">
        <v>152</v>
      </c>
      <c r="C24" t="s">
        <v>40</v>
      </c>
      <c r="D24" s="23">
        <f t="shared" si="0"/>
        <v>36615404</v>
      </c>
      <c r="G24" s="23"/>
    </row>
  </sheetData>
  <sortState ref="B3:D24">
    <sortCondition ref="B3:B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I24"/>
  <sheetViews>
    <sheetView workbookViewId="0">
      <selection activeCell="K17" sqref="K17"/>
    </sheetView>
  </sheetViews>
  <sheetFormatPr defaultRowHeight="15" x14ac:dyDescent="0.25"/>
  <cols>
    <col min="1" max="1" width="3.42578125" customWidth="1"/>
    <col min="2" max="2" width="25.28515625" bestFit="1" customWidth="1"/>
    <col min="3" max="3" width="20.140625" bestFit="1" customWidth="1"/>
    <col min="4" max="4" width="15.140625" bestFit="1" customWidth="1"/>
    <col min="5" max="5" width="3.28515625" customWidth="1"/>
    <col min="6" max="6" width="20.140625" bestFit="1" customWidth="1"/>
    <col min="7" max="7" width="17.5703125" bestFit="1" customWidth="1"/>
  </cols>
  <sheetData>
    <row r="2" spans="2:9" x14ac:dyDescent="0.25">
      <c r="B2" s="2" t="s">
        <v>127</v>
      </c>
      <c r="C2" s="2" t="s">
        <v>128</v>
      </c>
      <c r="D2" s="2" t="s">
        <v>129</v>
      </c>
      <c r="F2" s="2" t="s">
        <v>130</v>
      </c>
      <c r="G2" s="2" t="s">
        <v>131</v>
      </c>
    </row>
    <row r="3" spans="2:9" x14ac:dyDescent="0.25">
      <c r="B3" t="s">
        <v>132</v>
      </c>
      <c r="C3" t="s">
        <v>27</v>
      </c>
      <c r="D3" s="23" t="str">
        <f xml:space="preserve"> IFERROR(VLOOKUP(C3,$F$3:$G$11,2,FALSE),"")</f>
        <v/>
      </c>
      <c r="F3" t="s">
        <v>45</v>
      </c>
      <c r="G3" s="23">
        <v>33247178</v>
      </c>
      <c r="I3" t="str">
        <f>IF(ISNA(VLOOKUP(C3,$F$3:$G$11,2,FALSE)),"",VLOOKUP(C3,$F$3:$G$11,2,FALSE))</f>
        <v/>
      </c>
    </row>
    <row r="4" spans="2:9" x14ac:dyDescent="0.25">
      <c r="B4" t="s">
        <v>133</v>
      </c>
      <c r="C4" t="s">
        <v>28</v>
      </c>
      <c r="D4" s="23">
        <f>IFERROR(VLOOKUP(C4,$F$3:$G$11,2,FALSE),"")</f>
        <v>62157026</v>
      </c>
      <c r="F4" t="s">
        <v>34</v>
      </c>
      <c r="G4" s="23">
        <v>45302040</v>
      </c>
    </row>
    <row r="5" spans="2:9" x14ac:dyDescent="0.25">
      <c r="B5" t="s">
        <v>134</v>
      </c>
      <c r="C5" t="s">
        <v>29</v>
      </c>
      <c r="D5" s="23" t="str">
        <f t="shared" ref="D5:D24" si="0" xml:space="preserve"> IFERROR(VLOOKUP(C5,$F$3:$G$11,2,FALSE),"")</f>
        <v/>
      </c>
      <c r="F5" t="s">
        <v>31</v>
      </c>
      <c r="G5" s="23">
        <v>51744999</v>
      </c>
    </row>
    <row r="6" spans="2:9" x14ac:dyDescent="0.25">
      <c r="B6" t="s">
        <v>135</v>
      </c>
      <c r="C6" t="s">
        <v>30</v>
      </c>
      <c r="D6" s="23" t="str">
        <f t="shared" si="0"/>
        <v/>
      </c>
      <c r="F6" t="s">
        <v>28</v>
      </c>
      <c r="G6" s="23">
        <v>62157026</v>
      </c>
    </row>
    <row r="7" spans="2:9" x14ac:dyDescent="0.25">
      <c r="B7" t="s">
        <v>136</v>
      </c>
      <c r="C7" t="s">
        <v>32</v>
      </c>
      <c r="D7" s="23" t="str">
        <f t="shared" si="0"/>
        <v/>
      </c>
      <c r="F7" t="s">
        <v>26</v>
      </c>
      <c r="G7" s="23">
        <v>68970486</v>
      </c>
    </row>
    <row r="8" spans="2:9" x14ac:dyDescent="0.25">
      <c r="B8" t="s">
        <v>137</v>
      </c>
      <c r="C8" t="s">
        <v>38</v>
      </c>
      <c r="D8" s="23" t="str">
        <f t="shared" si="0"/>
        <v/>
      </c>
      <c r="F8" t="s">
        <v>40</v>
      </c>
      <c r="G8" s="23">
        <v>36615404</v>
      </c>
    </row>
    <row r="9" spans="2:9" x14ac:dyDescent="0.25">
      <c r="B9" t="s">
        <v>138</v>
      </c>
      <c r="C9" t="s">
        <v>37</v>
      </c>
      <c r="D9" s="23">
        <f t="shared" si="0"/>
        <v>40266501</v>
      </c>
      <c r="F9" t="s">
        <v>42</v>
      </c>
      <c r="G9" s="23">
        <v>35212678</v>
      </c>
    </row>
    <row r="10" spans="2:9" x14ac:dyDescent="0.25">
      <c r="B10" t="s">
        <v>139</v>
      </c>
      <c r="C10" t="s">
        <v>26</v>
      </c>
      <c r="D10" s="23">
        <f t="shared" si="0"/>
        <v>68970486</v>
      </c>
      <c r="F10" t="s">
        <v>37</v>
      </c>
      <c r="G10" s="23">
        <v>40266501</v>
      </c>
    </row>
    <row r="11" spans="2:9" x14ac:dyDescent="0.25">
      <c r="B11" t="s">
        <v>140</v>
      </c>
      <c r="C11" t="s">
        <v>33</v>
      </c>
      <c r="D11" s="23" t="str">
        <f t="shared" si="0"/>
        <v/>
      </c>
      <c r="F11" t="s">
        <v>41</v>
      </c>
      <c r="G11" s="23">
        <v>36325782</v>
      </c>
    </row>
    <row r="12" spans="2:9" x14ac:dyDescent="0.25">
      <c r="B12" t="s">
        <v>141</v>
      </c>
      <c r="C12" t="s">
        <v>45</v>
      </c>
      <c r="D12" s="23">
        <f t="shared" si="0"/>
        <v>33247178</v>
      </c>
      <c r="G12" s="23"/>
    </row>
    <row r="13" spans="2:9" x14ac:dyDescent="0.25">
      <c r="B13" t="s">
        <v>46</v>
      </c>
      <c r="C13" t="s">
        <v>35</v>
      </c>
      <c r="D13" s="23" t="str">
        <f t="shared" si="0"/>
        <v/>
      </c>
      <c r="G13" s="23"/>
    </row>
    <row r="14" spans="2:9" x14ac:dyDescent="0.25">
      <c r="B14" t="s">
        <v>142</v>
      </c>
      <c r="C14" t="s">
        <v>36</v>
      </c>
      <c r="D14" s="23" t="str">
        <f t="shared" si="0"/>
        <v/>
      </c>
      <c r="G14" s="23"/>
    </row>
    <row r="15" spans="2:9" x14ac:dyDescent="0.25">
      <c r="B15" t="s">
        <v>143</v>
      </c>
      <c r="C15" t="s">
        <v>34</v>
      </c>
      <c r="D15" s="23">
        <f t="shared" si="0"/>
        <v>45302040</v>
      </c>
      <c r="G15" s="23"/>
    </row>
    <row r="16" spans="2:9" x14ac:dyDescent="0.25">
      <c r="B16" t="s">
        <v>144</v>
      </c>
      <c r="C16" t="s">
        <v>31</v>
      </c>
      <c r="D16" s="23">
        <f t="shared" si="0"/>
        <v>51744999</v>
      </c>
      <c r="G16" s="23"/>
    </row>
    <row r="17" spans="2:8" x14ac:dyDescent="0.25">
      <c r="B17" t="s">
        <v>145</v>
      </c>
      <c r="C17" t="s">
        <v>42</v>
      </c>
      <c r="D17" s="23">
        <f t="shared" si="0"/>
        <v>35212678</v>
      </c>
      <c r="G17" s="23"/>
    </row>
    <row r="18" spans="2:8" x14ac:dyDescent="0.25">
      <c r="B18" t="s">
        <v>146</v>
      </c>
      <c r="C18" t="s">
        <v>39</v>
      </c>
      <c r="D18" s="23" t="str">
        <f t="shared" si="0"/>
        <v/>
      </c>
      <c r="G18" s="23"/>
    </row>
    <row r="19" spans="2:8" x14ac:dyDescent="0.25">
      <c r="B19" t="s">
        <v>147</v>
      </c>
      <c r="C19" t="s">
        <v>24</v>
      </c>
      <c r="D19" s="23" t="str">
        <f t="shared" si="0"/>
        <v/>
      </c>
      <c r="G19" s="23"/>
    </row>
    <row r="20" spans="2:8" x14ac:dyDescent="0.25">
      <c r="B20" t="s">
        <v>148</v>
      </c>
      <c r="C20" t="s">
        <v>43</v>
      </c>
      <c r="D20" s="23" t="str">
        <f t="shared" si="0"/>
        <v/>
      </c>
      <c r="G20" s="23"/>
      <c r="H20" t="str">
        <f xml:space="preserve"> IFERROR(VLOOKUP(C3,$F$3:$G$11,2,FALSE),"")</f>
        <v/>
      </c>
    </row>
    <row r="21" spans="2:8" x14ac:dyDescent="0.25">
      <c r="B21" t="s">
        <v>149</v>
      </c>
      <c r="C21" t="s">
        <v>41</v>
      </c>
      <c r="D21" s="23">
        <f t="shared" si="0"/>
        <v>36325782</v>
      </c>
      <c r="G21" s="23"/>
    </row>
    <row r="22" spans="2:8" x14ac:dyDescent="0.25">
      <c r="B22" t="s">
        <v>150</v>
      </c>
      <c r="C22" t="s">
        <v>25</v>
      </c>
      <c r="D22" s="23" t="str">
        <f t="shared" si="0"/>
        <v/>
      </c>
      <c r="G22" s="23"/>
    </row>
    <row r="23" spans="2:8" x14ac:dyDescent="0.25">
      <c r="B23" t="s">
        <v>151</v>
      </c>
      <c r="C23" t="s">
        <v>44</v>
      </c>
      <c r="D23" s="23" t="str">
        <f t="shared" si="0"/>
        <v/>
      </c>
      <c r="G23" s="23"/>
    </row>
    <row r="24" spans="2:8" x14ac:dyDescent="0.25">
      <c r="B24" t="s">
        <v>152</v>
      </c>
      <c r="C24" t="s">
        <v>40</v>
      </c>
      <c r="D24" s="23">
        <f t="shared" si="0"/>
        <v>36615404</v>
      </c>
      <c r="G24" s="23"/>
    </row>
  </sheetData>
  <sortState ref="B3:D24">
    <sortCondition ref="B3:B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E19"/>
  <sheetViews>
    <sheetView workbookViewId="0">
      <selection activeCell="H31" sqref="H31"/>
    </sheetView>
  </sheetViews>
  <sheetFormatPr defaultRowHeight="15" x14ac:dyDescent="0.25"/>
  <cols>
    <col min="1" max="1" width="3.85546875" customWidth="1"/>
    <col min="2" max="2" width="11.7109375" bestFit="1" customWidth="1"/>
    <col min="3" max="3" width="15.140625" customWidth="1"/>
    <col min="4" max="4" width="14.7109375" bestFit="1" customWidth="1"/>
    <col min="5" max="5" width="11" bestFit="1" customWidth="1"/>
  </cols>
  <sheetData>
    <row r="2" spans="2:5" x14ac:dyDescent="0.25">
      <c r="B2" s="2" t="s">
        <v>153</v>
      </c>
      <c r="C2" s="2" t="s">
        <v>156</v>
      </c>
      <c r="D2" s="2" t="s">
        <v>157</v>
      </c>
      <c r="E2" s="2" t="s">
        <v>161</v>
      </c>
    </row>
    <row r="3" spans="2:5" x14ac:dyDescent="0.25">
      <c r="B3" s="32">
        <v>0</v>
      </c>
      <c r="C3" s="32">
        <v>325</v>
      </c>
      <c r="D3" s="32">
        <v>0</v>
      </c>
      <c r="E3" s="33">
        <v>0</v>
      </c>
    </row>
    <row r="4" spans="2:5" x14ac:dyDescent="0.25">
      <c r="B4" s="32">
        <v>325</v>
      </c>
      <c r="C4" s="32">
        <v>1023</v>
      </c>
      <c r="D4" s="32">
        <v>0</v>
      </c>
      <c r="E4" s="33">
        <v>0.1</v>
      </c>
    </row>
    <row r="5" spans="2:5" x14ac:dyDescent="0.25">
      <c r="B5" s="32">
        <v>1023</v>
      </c>
      <c r="C5" s="32">
        <v>3163</v>
      </c>
      <c r="D5" s="3">
        <v>69.8</v>
      </c>
      <c r="E5" s="33">
        <v>0.15</v>
      </c>
    </row>
    <row r="6" spans="2:5" x14ac:dyDescent="0.25">
      <c r="B6" s="32">
        <v>3163</v>
      </c>
      <c r="C6" s="32">
        <v>6050</v>
      </c>
      <c r="D6" s="3">
        <v>390.8</v>
      </c>
      <c r="E6" s="33">
        <v>0.25</v>
      </c>
    </row>
    <row r="7" spans="2:5" x14ac:dyDescent="0.25">
      <c r="B7" s="32">
        <v>6050</v>
      </c>
      <c r="C7" s="32">
        <v>9050</v>
      </c>
      <c r="D7" s="3">
        <v>1112.56</v>
      </c>
      <c r="E7" s="33">
        <v>0.28000000000000003</v>
      </c>
    </row>
    <row r="8" spans="2:5" x14ac:dyDescent="0.25">
      <c r="B8" s="32">
        <v>9050</v>
      </c>
      <c r="C8" s="32">
        <v>15906</v>
      </c>
      <c r="D8" s="3">
        <v>3195.56</v>
      </c>
      <c r="E8" s="33">
        <v>0.33</v>
      </c>
    </row>
    <row r="9" spans="2:5" x14ac:dyDescent="0.25">
      <c r="B9" s="32">
        <v>15906</v>
      </c>
      <c r="C9" s="32">
        <v>17925</v>
      </c>
      <c r="D9" s="3">
        <v>4215.03</v>
      </c>
      <c r="E9" s="33">
        <v>0.35</v>
      </c>
    </row>
    <row r="10" spans="2:5" x14ac:dyDescent="0.25">
      <c r="B10" s="32">
        <v>17925</v>
      </c>
      <c r="C10" s="32"/>
      <c r="D10" s="3">
        <v>4921.68</v>
      </c>
      <c r="E10" s="33">
        <v>0.39600000000000002</v>
      </c>
    </row>
    <row r="12" spans="2:5" x14ac:dyDescent="0.25">
      <c r="C12" s="24" t="s">
        <v>154</v>
      </c>
      <c r="D12" s="3">
        <f>ROUND(60000/26,2)</f>
        <v>2307.69</v>
      </c>
    </row>
    <row r="13" spans="2:5" x14ac:dyDescent="0.25">
      <c r="C13" s="24" t="s">
        <v>159</v>
      </c>
      <c r="D13" s="32">
        <v>2</v>
      </c>
    </row>
    <row r="14" spans="2:5" x14ac:dyDescent="0.25">
      <c r="C14" s="24" t="s">
        <v>160</v>
      </c>
      <c r="D14" s="3">
        <f>D13*151.9</f>
        <v>303.8</v>
      </c>
    </row>
    <row r="15" spans="2:5" x14ac:dyDescent="0.25">
      <c r="C15" s="24" t="s">
        <v>155</v>
      </c>
      <c r="D15" s="3">
        <f>D12-D14</f>
        <v>2003.89</v>
      </c>
    </row>
    <row r="16" spans="2:5" x14ac:dyDescent="0.25">
      <c r="C16" s="24" t="s">
        <v>158</v>
      </c>
      <c r="D16" s="34">
        <f>VLOOKUP(D15,B3:E10,3,TRUE)+(D15-VLOOKUP(D15,B3:E10,1,TRUE))*VLOOKUP(D15,B3:E10,4,TRUE)</f>
        <v>216.93349999999998</v>
      </c>
    </row>
    <row r="18" spans="4:4" x14ac:dyDescent="0.25">
      <c r="D18" s="3"/>
    </row>
    <row r="19" spans="4:4" x14ac:dyDescent="0.25">
      <c r="D1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E19"/>
  <sheetViews>
    <sheetView workbookViewId="0">
      <selection activeCell="G18" sqref="G18"/>
    </sheetView>
  </sheetViews>
  <sheetFormatPr defaultRowHeight="15" x14ac:dyDescent="0.25"/>
  <cols>
    <col min="1" max="1" width="2.5703125" customWidth="1"/>
    <col min="2" max="2" width="11.7109375" bestFit="1" customWidth="1"/>
    <col min="3" max="3" width="14.7109375" customWidth="1"/>
    <col min="4" max="4" width="15.5703125" customWidth="1"/>
    <col min="5" max="5" width="10.28515625" customWidth="1"/>
  </cols>
  <sheetData>
    <row r="2" spans="2:5" x14ac:dyDescent="0.25">
      <c r="B2" s="2" t="s">
        <v>153</v>
      </c>
      <c r="C2" s="2" t="s">
        <v>156</v>
      </c>
      <c r="D2" s="2" t="s">
        <v>157</v>
      </c>
      <c r="E2" s="2" t="s">
        <v>161</v>
      </c>
    </row>
    <row r="3" spans="2:5" x14ac:dyDescent="0.25">
      <c r="B3" s="32">
        <v>17925</v>
      </c>
      <c r="C3" s="32"/>
      <c r="D3" s="3">
        <v>4921.68</v>
      </c>
      <c r="E3" s="33">
        <v>0.39600000000000002</v>
      </c>
    </row>
    <row r="4" spans="2:5" x14ac:dyDescent="0.25">
      <c r="B4" s="32">
        <v>15906</v>
      </c>
      <c r="C4" s="32">
        <v>17925</v>
      </c>
      <c r="D4" s="3">
        <v>4215.03</v>
      </c>
      <c r="E4" s="33">
        <v>0.35</v>
      </c>
    </row>
    <row r="5" spans="2:5" x14ac:dyDescent="0.25">
      <c r="B5" s="32">
        <v>9050</v>
      </c>
      <c r="C5" s="32">
        <v>15906</v>
      </c>
      <c r="D5" s="3">
        <v>3195.56</v>
      </c>
      <c r="E5" s="33">
        <v>0.33</v>
      </c>
    </row>
    <row r="6" spans="2:5" x14ac:dyDescent="0.25">
      <c r="B6" s="32">
        <v>6050</v>
      </c>
      <c r="C6" s="32">
        <v>9050</v>
      </c>
      <c r="D6" s="3">
        <v>1112.56</v>
      </c>
      <c r="E6" s="33">
        <v>0.28000000000000003</v>
      </c>
    </row>
    <row r="7" spans="2:5" x14ac:dyDescent="0.25">
      <c r="B7" s="32">
        <v>3163</v>
      </c>
      <c r="C7" s="32">
        <v>6050</v>
      </c>
      <c r="D7" s="3">
        <v>390.8</v>
      </c>
      <c r="E7" s="33">
        <v>0.25</v>
      </c>
    </row>
    <row r="8" spans="2:5" x14ac:dyDescent="0.25">
      <c r="B8" s="32">
        <v>1023</v>
      </c>
      <c r="C8" s="32">
        <v>3163</v>
      </c>
      <c r="D8" s="3">
        <v>69.8</v>
      </c>
      <c r="E8" s="33">
        <v>0.15</v>
      </c>
    </row>
    <row r="9" spans="2:5" x14ac:dyDescent="0.25">
      <c r="B9" s="32">
        <v>325</v>
      </c>
      <c r="C9" s="32">
        <v>1023</v>
      </c>
      <c r="D9" s="32">
        <v>0</v>
      </c>
      <c r="E9" s="33">
        <v>0.1</v>
      </c>
    </row>
    <row r="10" spans="2:5" x14ac:dyDescent="0.25">
      <c r="B10" s="32">
        <v>0</v>
      </c>
      <c r="C10" s="32">
        <v>325</v>
      </c>
      <c r="D10" s="32">
        <v>0</v>
      </c>
      <c r="E10" s="33">
        <v>0</v>
      </c>
    </row>
    <row r="12" spans="2:5" x14ac:dyDescent="0.25">
      <c r="C12" s="24" t="s">
        <v>154</v>
      </c>
      <c r="D12" s="3">
        <f>ROUND(60000/26,2)</f>
        <v>2307.69</v>
      </c>
    </row>
    <row r="13" spans="2:5" x14ac:dyDescent="0.25">
      <c r="C13" s="24" t="s">
        <v>159</v>
      </c>
      <c r="D13" s="32">
        <v>2</v>
      </c>
    </row>
    <row r="14" spans="2:5" x14ac:dyDescent="0.25">
      <c r="C14" s="24" t="s">
        <v>160</v>
      </c>
      <c r="D14" s="3">
        <f>D13*151.9</f>
        <v>303.8</v>
      </c>
    </row>
    <row r="15" spans="2:5" x14ac:dyDescent="0.25">
      <c r="C15" s="24" t="s">
        <v>155</v>
      </c>
      <c r="D15" s="3">
        <f>D12-D14</f>
        <v>2003.89</v>
      </c>
    </row>
    <row r="16" spans="2:5" x14ac:dyDescent="0.25">
      <c r="C16" s="24" t="s">
        <v>158</v>
      </c>
      <c r="D16" s="34" t="e">
        <f>VLOOKUP(D15,B3:E10,3,TRUE)+(D15-VLOOKUP(D15,B3:E10,1,TRUE))*VLOOKUP(D15,B3:E10,4,TRUE)</f>
        <v>#N/A</v>
      </c>
    </row>
    <row r="18" spans="3:4" x14ac:dyDescent="0.25">
      <c r="C18" s="27" t="s">
        <v>162</v>
      </c>
      <c r="D18" s="34">
        <f>INDEX(B3:E10,MATCH(D15,B3:B10,-1)+1,3)+(D15-INDEX(B3:E10,MATCH(D15,B3:B10,-1)+1,1))*INDEX(B3:E10,MATCH(D15,B3:B10,-1)+1,4)</f>
        <v>216.93349999999998</v>
      </c>
    </row>
    <row r="19" spans="3:4" x14ac:dyDescent="0.25">
      <c r="D19" s="3"/>
    </row>
  </sheetData>
  <sortState ref="B3:E10">
    <sortCondition descending="1" ref="B3:B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E33"/>
  <sheetViews>
    <sheetView workbookViewId="0">
      <selection activeCell="D30" sqref="D30"/>
    </sheetView>
  </sheetViews>
  <sheetFormatPr defaultRowHeight="15" x14ac:dyDescent="0.25"/>
  <cols>
    <col min="1" max="1" width="9.140625" customWidth="1"/>
    <col min="2" max="3" width="14" customWidth="1"/>
    <col min="4" max="4" width="15.28515625" customWidth="1"/>
    <col min="5" max="5" width="10.140625" customWidth="1"/>
  </cols>
  <sheetData>
    <row r="2" spans="2:5" x14ac:dyDescent="0.25">
      <c r="B2" s="35" t="s">
        <v>163</v>
      </c>
    </row>
    <row r="3" spans="2:5" x14ac:dyDescent="0.25">
      <c r="B3" s="2" t="s">
        <v>153</v>
      </c>
      <c r="C3" s="2" t="s">
        <v>156</v>
      </c>
      <c r="D3" s="2" t="s">
        <v>157</v>
      </c>
      <c r="E3" s="2" t="s">
        <v>161</v>
      </c>
    </row>
    <row r="4" spans="2:5" x14ac:dyDescent="0.25">
      <c r="B4" s="32">
        <v>0</v>
      </c>
      <c r="C4" s="32">
        <v>325</v>
      </c>
      <c r="D4" s="32">
        <v>0</v>
      </c>
      <c r="E4" s="33">
        <v>0</v>
      </c>
    </row>
    <row r="5" spans="2:5" x14ac:dyDescent="0.25">
      <c r="B5" s="32">
        <v>325</v>
      </c>
      <c r="C5" s="32">
        <v>1023</v>
      </c>
      <c r="D5" s="32">
        <v>0</v>
      </c>
      <c r="E5" s="33">
        <v>0.1</v>
      </c>
    </row>
    <row r="6" spans="2:5" x14ac:dyDescent="0.25">
      <c r="B6" s="32">
        <v>1023</v>
      </c>
      <c r="C6" s="32">
        <v>3163</v>
      </c>
      <c r="D6" s="3">
        <v>69.8</v>
      </c>
      <c r="E6" s="33">
        <v>0.15</v>
      </c>
    </row>
    <row r="7" spans="2:5" x14ac:dyDescent="0.25">
      <c r="B7" s="32">
        <v>3163</v>
      </c>
      <c r="C7" s="32">
        <v>6050</v>
      </c>
      <c r="D7" s="3">
        <v>390.8</v>
      </c>
      <c r="E7" s="33">
        <v>0.25</v>
      </c>
    </row>
    <row r="8" spans="2:5" x14ac:dyDescent="0.25">
      <c r="B8" s="32">
        <v>6050</v>
      </c>
      <c r="C8" s="32">
        <v>9050</v>
      </c>
      <c r="D8" s="3">
        <v>1112.56</v>
      </c>
      <c r="E8" s="33">
        <v>0.28000000000000003</v>
      </c>
    </row>
    <row r="9" spans="2:5" x14ac:dyDescent="0.25">
      <c r="B9" s="32">
        <v>9050</v>
      </c>
      <c r="C9" s="32">
        <v>15906</v>
      </c>
      <c r="D9" s="3">
        <v>3195.56</v>
      </c>
      <c r="E9" s="33">
        <v>0.33</v>
      </c>
    </row>
    <row r="10" spans="2:5" x14ac:dyDescent="0.25">
      <c r="B10" s="32">
        <v>15906</v>
      </c>
      <c r="C10" s="32">
        <v>17925</v>
      </c>
      <c r="D10" s="3">
        <v>4215.03</v>
      </c>
      <c r="E10" s="33">
        <v>0.35</v>
      </c>
    </row>
    <row r="11" spans="2:5" x14ac:dyDescent="0.25">
      <c r="B11" s="32">
        <v>17925</v>
      </c>
      <c r="C11" s="32"/>
      <c r="D11" s="3">
        <v>4921.68</v>
      </c>
      <c r="E11" s="33">
        <v>0.39600000000000002</v>
      </c>
    </row>
    <row r="13" spans="2:5" x14ac:dyDescent="0.25">
      <c r="B13" s="35" t="s">
        <v>164</v>
      </c>
    </row>
    <row r="14" spans="2:5" x14ac:dyDescent="0.25">
      <c r="B14" s="2" t="s">
        <v>153</v>
      </c>
      <c r="C14" s="2" t="s">
        <v>156</v>
      </c>
      <c r="D14" s="2" t="s">
        <v>157</v>
      </c>
      <c r="E14" s="2" t="s">
        <v>161</v>
      </c>
    </row>
    <row r="15" spans="2:5" x14ac:dyDescent="0.25">
      <c r="B15" s="32">
        <v>0</v>
      </c>
      <c r="C15" s="32">
        <v>87</v>
      </c>
      <c r="D15" s="32">
        <v>0</v>
      </c>
      <c r="E15" s="33">
        <v>0</v>
      </c>
    </row>
    <row r="16" spans="2:5" x14ac:dyDescent="0.25">
      <c r="B16" s="32">
        <v>87</v>
      </c>
      <c r="C16" s="32">
        <v>436</v>
      </c>
      <c r="D16" s="32">
        <v>0</v>
      </c>
      <c r="E16" s="33">
        <v>0.1</v>
      </c>
    </row>
    <row r="17" spans="2:5" x14ac:dyDescent="0.25">
      <c r="B17" s="32">
        <v>436</v>
      </c>
      <c r="C17" s="32">
        <v>1506</v>
      </c>
      <c r="D17" s="3">
        <v>34.9</v>
      </c>
      <c r="E17" s="33">
        <v>0.15</v>
      </c>
    </row>
    <row r="18" spans="2:5" x14ac:dyDescent="0.25">
      <c r="B18" s="32">
        <v>1506</v>
      </c>
      <c r="C18" s="32">
        <v>3523</v>
      </c>
      <c r="D18" s="3">
        <v>195.4</v>
      </c>
      <c r="E18" s="33">
        <v>0.25</v>
      </c>
    </row>
    <row r="19" spans="2:5" x14ac:dyDescent="0.25">
      <c r="B19" s="32">
        <v>3523</v>
      </c>
      <c r="C19" s="32">
        <v>7254</v>
      </c>
      <c r="D19" s="3">
        <v>699.65</v>
      </c>
      <c r="E19" s="33">
        <v>0.28000000000000003</v>
      </c>
    </row>
    <row r="20" spans="2:5" x14ac:dyDescent="0.25">
      <c r="B20" s="32">
        <v>7254</v>
      </c>
      <c r="C20" s="32">
        <v>15667</v>
      </c>
      <c r="D20" s="3">
        <v>1744.33</v>
      </c>
      <c r="E20" s="33">
        <v>0.33</v>
      </c>
    </row>
    <row r="21" spans="2:5" x14ac:dyDescent="0.25">
      <c r="B21" s="32">
        <v>15667</v>
      </c>
      <c r="C21" s="32">
        <v>15731</v>
      </c>
      <c r="D21" s="3">
        <v>4520.62</v>
      </c>
      <c r="E21" s="33">
        <v>0.35</v>
      </c>
    </row>
    <row r="22" spans="2:5" x14ac:dyDescent="0.25">
      <c r="B22" s="32">
        <v>15731</v>
      </c>
      <c r="C22" s="32"/>
      <c r="D22" s="3">
        <v>4543.0200000000004</v>
      </c>
      <c r="E22" s="33">
        <v>0.39600000000000002</v>
      </c>
    </row>
    <row r="25" spans="2:5" x14ac:dyDescent="0.25">
      <c r="C25" s="24" t="s">
        <v>165</v>
      </c>
      <c r="D25" s="30" t="s">
        <v>166</v>
      </c>
    </row>
    <row r="26" spans="2:5" x14ac:dyDescent="0.25">
      <c r="C26" s="24" t="s">
        <v>154</v>
      </c>
      <c r="D26" s="3">
        <f>ROUND(105000/26,2)</f>
        <v>4038.46</v>
      </c>
    </row>
    <row r="27" spans="2:5" x14ac:dyDescent="0.25">
      <c r="C27" s="24" t="s">
        <v>159</v>
      </c>
      <c r="D27" s="32">
        <v>3</v>
      </c>
    </row>
    <row r="28" spans="2:5" x14ac:dyDescent="0.25">
      <c r="C28" s="24" t="s">
        <v>160</v>
      </c>
      <c r="D28" s="3">
        <f>D27*151.9</f>
        <v>455.70000000000005</v>
      </c>
    </row>
    <row r="29" spans="2:5" x14ac:dyDescent="0.25">
      <c r="C29" s="24" t="s">
        <v>155</v>
      </c>
      <c r="D29" s="3">
        <f>D26-D28</f>
        <v>3582.76</v>
      </c>
    </row>
    <row r="30" spans="2:5" x14ac:dyDescent="0.25">
      <c r="C30" s="24" t="s">
        <v>158</v>
      </c>
      <c r="D30" s="34">
        <f ca="1">VLOOKUP(D29,INDIRECT(D25),3,TRUE)+(D29-VLOOKUP(D29,INDIRECT(D25),1,TRUE))*VLOOKUP(D29,INDIRECT(D25),4,TRUE)</f>
        <v>716.38280000000009</v>
      </c>
    </row>
    <row r="32" spans="2:5" x14ac:dyDescent="0.25">
      <c r="D32" s="3"/>
    </row>
    <row r="33" spans="4:4" x14ac:dyDescent="0.25">
      <c r="D33" s="3"/>
    </row>
  </sheetData>
  <dataValidations disablePrompts="1" count="1">
    <dataValidation type="list" allowBlank="1" showInputMessage="1" showErrorMessage="1" sqref="D25" xr:uid="{00000000-0002-0000-0700-000000000000}">
      <formula1>"В_браке, Холост"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G15"/>
  <sheetViews>
    <sheetView workbookViewId="0">
      <selection activeCell="C15" sqref="C15"/>
    </sheetView>
  </sheetViews>
  <sheetFormatPr defaultRowHeight="15" x14ac:dyDescent="0.25"/>
  <cols>
    <col min="2" max="2" width="14.140625" customWidth="1"/>
    <col min="3" max="6" width="12.7109375" customWidth="1"/>
    <col min="7" max="7" width="11.5703125" bestFit="1" customWidth="1"/>
  </cols>
  <sheetData>
    <row r="2" spans="2:7" x14ac:dyDescent="0.25">
      <c r="B2" s="36" t="s">
        <v>167</v>
      </c>
    </row>
    <row r="3" spans="2:7" x14ac:dyDescent="0.25">
      <c r="B3" s="2" t="s">
        <v>168</v>
      </c>
      <c r="C3" s="2">
        <v>2010</v>
      </c>
      <c r="D3" s="2">
        <v>2011</v>
      </c>
      <c r="E3" s="2">
        <v>2012</v>
      </c>
      <c r="F3" s="2">
        <v>2013</v>
      </c>
      <c r="G3" s="2" t="s">
        <v>179</v>
      </c>
    </row>
    <row r="4" spans="2:7" x14ac:dyDescent="0.25">
      <c r="B4" t="s">
        <v>169</v>
      </c>
      <c r="C4" s="32">
        <v>1525017</v>
      </c>
      <c r="D4" s="32">
        <v>1504678</v>
      </c>
      <c r="E4" s="32">
        <v>1227847</v>
      </c>
      <c r="F4" s="32">
        <v>1019616</v>
      </c>
      <c r="G4" s="32">
        <f>SUM(C4:F4)</f>
        <v>5277158</v>
      </c>
    </row>
    <row r="5" spans="2:7" x14ac:dyDescent="0.25">
      <c r="B5" t="s">
        <v>175</v>
      </c>
      <c r="C5" s="32">
        <v>2704237</v>
      </c>
      <c r="D5" s="32">
        <v>2135564</v>
      </c>
      <c r="E5" s="32">
        <v>1411782</v>
      </c>
      <c r="F5" s="32">
        <v>716535</v>
      </c>
      <c r="G5" s="32">
        <f t="shared" ref="G5:G9" si="0">SUM(C5:F5)</f>
        <v>6968118</v>
      </c>
    </row>
    <row r="6" spans="2:7" x14ac:dyDescent="0.25">
      <c r="B6" t="s">
        <v>171</v>
      </c>
      <c r="C6" s="32">
        <v>3563687</v>
      </c>
      <c r="D6" s="32">
        <v>4441886</v>
      </c>
      <c r="E6" s="32">
        <v>4805431</v>
      </c>
      <c r="F6" s="32">
        <v>3716674</v>
      </c>
      <c r="G6" s="32">
        <f t="shared" si="0"/>
        <v>16527678</v>
      </c>
    </row>
    <row r="7" spans="2:7" x14ac:dyDescent="0.25">
      <c r="B7" t="s">
        <v>172</v>
      </c>
      <c r="C7" s="32">
        <v>4489700</v>
      </c>
      <c r="D7" s="32">
        <v>2651064</v>
      </c>
      <c r="E7" s="32">
        <v>796330</v>
      </c>
      <c r="F7" s="32">
        <v>2898601</v>
      </c>
      <c r="G7" s="32">
        <f t="shared" si="0"/>
        <v>10835695</v>
      </c>
    </row>
    <row r="8" spans="2:7" x14ac:dyDescent="0.25">
      <c r="B8" t="s">
        <v>173</v>
      </c>
      <c r="C8" s="32">
        <v>2167319</v>
      </c>
      <c r="D8" s="32">
        <v>1357850</v>
      </c>
      <c r="E8" s="32">
        <v>776850</v>
      </c>
      <c r="F8" s="32">
        <v>3024542</v>
      </c>
      <c r="G8" s="32">
        <f t="shared" si="0"/>
        <v>7326561</v>
      </c>
    </row>
    <row r="9" spans="2:7" x14ac:dyDescent="0.25">
      <c r="B9" t="s">
        <v>174</v>
      </c>
      <c r="C9" s="32">
        <v>1861239</v>
      </c>
      <c r="D9" s="32">
        <v>3578280</v>
      </c>
      <c r="E9" s="32">
        <v>4069389</v>
      </c>
      <c r="F9" s="32">
        <v>1475301</v>
      </c>
      <c r="G9" s="32">
        <f t="shared" si="0"/>
        <v>10984209</v>
      </c>
    </row>
    <row r="10" spans="2:7" ht="15.75" thickBot="1" x14ac:dyDescent="0.3">
      <c r="B10" t="s">
        <v>67</v>
      </c>
      <c r="C10" s="40">
        <f>SUM(C4:C9)</f>
        <v>16311199</v>
      </c>
      <c r="D10" s="40">
        <f t="shared" ref="D10:G10" si="1">SUM(D4:D9)</f>
        <v>15669322</v>
      </c>
      <c r="E10" s="40">
        <f t="shared" si="1"/>
        <v>13087629</v>
      </c>
      <c r="F10" s="40">
        <f t="shared" si="1"/>
        <v>12851269</v>
      </c>
      <c r="G10" s="40">
        <f t="shared" si="1"/>
        <v>57919419</v>
      </c>
    </row>
    <row r="11" spans="2:7" ht="15.75" thickTop="1" x14ac:dyDescent="0.25">
      <c r="C11" s="32"/>
      <c r="D11" s="32"/>
      <c r="E11" s="32"/>
      <c r="F11" s="32"/>
    </row>
    <row r="13" spans="2:7" x14ac:dyDescent="0.25">
      <c r="B13" s="37" t="s">
        <v>176</v>
      </c>
      <c r="C13" s="38" t="s">
        <v>171</v>
      </c>
    </row>
    <row r="14" spans="2:7" x14ac:dyDescent="0.25">
      <c r="B14" s="37" t="s">
        <v>177</v>
      </c>
      <c r="C14" s="38">
        <v>2011</v>
      </c>
    </row>
    <row r="15" spans="2:7" x14ac:dyDescent="0.25">
      <c r="B15" s="37" t="s">
        <v>178</v>
      </c>
      <c r="C15" s="39">
        <f>INDEX(C4:F9,MATCH(C13,B4:B9,FALSE),MATCH(C14,C3:F3,FALSE))</f>
        <v>4441886</v>
      </c>
    </row>
  </sheetData>
  <dataValidations disablePrompts="1" count="2">
    <dataValidation type="list" allowBlank="1" showInputMessage="1" showErrorMessage="1" sqref="C13" xr:uid="{00000000-0002-0000-0800-000000000000}">
      <formula1>$B$4:$B$9</formula1>
    </dataValidation>
    <dataValidation type="list" allowBlank="1" showInputMessage="1" showErrorMessage="1" sqref="C14" xr:uid="{00000000-0002-0000-0800-000001000000}">
      <formula1>$C$3:$F$3</formula1>
    </dataValidation>
  </dataValidations>
  <pageMargins left="0.7" right="0.7" top="0.75" bottom="0.75" header="0.3" footer="0.3"/>
  <ignoredErrors>
    <ignoredError sqref="C10 D10:F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</vt:i4>
      </vt:variant>
    </vt:vector>
  </HeadingPairs>
  <TitlesOfParts>
    <vt:vector size="14" baseType="lpstr">
      <vt:lpstr>Лист1</vt:lpstr>
      <vt:lpstr>Лист2</vt:lpstr>
      <vt:lpstr>Лист3</vt:lpstr>
      <vt:lpstr>Лист4</vt:lpstr>
      <vt:lpstr>Лист4а</vt:lpstr>
      <vt:lpstr>Лист5</vt:lpstr>
      <vt:lpstr>Лист5а</vt:lpstr>
      <vt:lpstr>Лист6</vt:lpstr>
      <vt:lpstr>Лист7</vt:lpstr>
      <vt:lpstr>Лист7а</vt:lpstr>
      <vt:lpstr>Лист8</vt:lpstr>
      <vt:lpstr>Лист9</vt:lpstr>
      <vt:lpstr>В_браке</vt:lpstr>
      <vt:lpstr>Холост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Admin</cp:lastModifiedBy>
  <dcterms:created xsi:type="dcterms:W3CDTF">2013-10-28T00:19:55Z</dcterms:created>
  <dcterms:modified xsi:type="dcterms:W3CDTF">2019-01-28T14:21:42Z</dcterms:modified>
</cp:coreProperties>
</file>