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227"/>
  <workbookPr codeName="ThisWorkbook"/>
  <mc:AlternateContent xmlns:mc="http://schemas.openxmlformats.org/markup-compatibility/2006">
    <mc:Choice Requires="x15">
      <x15ac:absPath xmlns:x15ac="http://schemas.microsoft.com/office/spreadsheetml/2010/11/ac" url="https://d.docs.live.net/b6dff9dddffbce59/KULEUVEN/Master 2/Operations Strategy in Manufacturing and Services/Obligatory Assignment/"/>
    </mc:Choice>
  </mc:AlternateContent>
  <xr:revisionPtr revIDLastSave="572" documentId="11_9067A07307FF6EA7F4D28FA1243933C18F9A121D" xr6:coauthVersionLast="47" xr6:coauthVersionMax="47" xr10:uidLastSave="{F25FB468-008B-41D0-8690-D03A8A114F30}"/>
  <bookViews>
    <workbookView minimized="1" xWindow="5589" yWindow="-51" windowWidth="16457" windowHeight="8965" firstSheet="3" activeTab="7" xr2:uid="{9336E6E6-14F0-4DC1-8057-B9B1D485DB8C}"/>
  </bookViews>
  <sheets>
    <sheet name="Short_Raw data_finalversion" sheetId="11" r:id="rId1"/>
    <sheet name="Short_Raw data" sheetId="2" state="hidden" r:id="rId2"/>
    <sheet name="CCR_Results" sheetId="5" state="hidden" r:id="rId3"/>
    <sheet name="Efficiencies &amp; Slacks" sheetId="13" r:id="rId4"/>
    <sheet name="Lambda Weights" sheetId="14" r:id="rId5"/>
    <sheet name="Radar Plot Analysis" sheetId="16" r:id="rId6"/>
    <sheet name="Data definition" sheetId="3" r:id="rId7"/>
    <sheet name="Raw data" sheetId="1" r:id="rId8"/>
    <sheet name="BCC_Results" sheetId="6" state="hidden"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28" i="16" l="1"/>
  <c r="N28" i="16"/>
  <c r="Q28" i="16"/>
  <c r="Q25" i="16"/>
  <c r="Q5" i="16"/>
  <c r="Q6" i="16"/>
  <c r="Q7" i="16"/>
  <c r="Q8" i="16"/>
  <c r="Q9" i="16"/>
  <c r="Q10" i="16"/>
  <c r="Q11" i="16"/>
  <c r="Q12" i="16"/>
  <c r="Q13" i="16"/>
  <c r="Q14" i="16"/>
  <c r="Q15" i="16"/>
  <c r="Q16" i="16"/>
  <c r="Q17" i="16"/>
  <c r="Q18" i="16"/>
  <c r="Q19" i="16"/>
  <c r="Q20" i="16"/>
  <c r="Q21" i="16"/>
  <c r="Q22" i="16"/>
  <c r="Q23" i="16"/>
  <c r="Q24" i="16"/>
  <c r="Q26" i="16"/>
  <c r="Q27" i="16"/>
  <c r="Q4" i="16"/>
  <c r="Q29" i="16" s="1"/>
  <c r="Q56" i="16" s="1"/>
  <c r="N12" i="16"/>
  <c r="N4" i="16"/>
  <c r="N5" i="16"/>
  <c r="N6" i="16"/>
  <c r="N7" i="16"/>
  <c r="N29" i="16" s="1"/>
  <c r="N8" i="16"/>
  <c r="N9" i="16"/>
  <c r="N10" i="16"/>
  <c r="N11" i="16"/>
  <c r="N13" i="16"/>
  <c r="N14" i="16"/>
  <c r="N15" i="16"/>
  <c r="N16" i="16"/>
  <c r="N17" i="16"/>
  <c r="N18" i="16"/>
  <c r="N19" i="16"/>
  <c r="N20" i="16"/>
  <c r="N21" i="16"/>
  <c r="N22" i="16"/>
  <c r="N23" i="16"/>
  <c r="N24" i="16"/>
  <c r="N25" i="16"/>
  <c r="N26" i="16"/>
  <c r="N27" i="16"/>
  <c r="K14" i="16"/>
  <c r="K15" i="16"/>
  <c r="K16" i="16"/>
  <c r="K17" i="16"/>
  <c r="K18" i="16"/>
  <c r="K19" i="16"/>
  <c r="K20" i="16"/>
  <c r="K21" i="16"/>
  <c r="K22" i="16"/>
  <c r="K23" i="16"/>
  <c r="K24" i="16"/>
  <c r="K25" i="16"/>
  <c r="K26" i="16"/>
  <c r="K27" i="16"/>
  <c r="K12" i="16"/>
  <c r="K5" i="16"/>
  <c r="K6" i="16"/>
  <c r="K7" i="16"/>
  <c r="K8" i="16"/>
  <c r="K9" i="16"/>
  <c r="K10" i="16"/>
  <c r="K11" i="16"/>
  <c r="K13" i="16"/>
  <c r="K4" i="16"/>
  <c r="K29" i="16" s="1"/>
  <c r="D28" i="16"/>
  <c r="R28" i="16" s="1"/>
  <c r="B28" i="16"/>
  <c r="J28" i="16" s="1"/>
  <c r="D27" i="16"/>
  <c r="O27" i="16" s="1"/>
  <c r="B27" i="16"/>
  <c r="P27" i="16" s="1"/>
  <c r="D26" i="16"/>
  <c r="O26" i="16" s="1"/>
  <c r="B26" i="16"/>
  <c r="P26" i="16" s="1"/>
  <c r="D25" i="16"/>
  <c r="R25" i="16" s="1"/>
  <c r="B25" i="16"/>
  <c r="M25" i="16" s="1"/>
  <c r="D24" i="16"/>
  <c r="R24" i="16" s="1"/>
  <c r="B24" i="16"/>
  <c r="P24" i="16" s="1"/>
  <c r="D23" i="16"/>
  <c r="O23" i="16" s="1"/>
  <c r="B23" i="16"/>
  <c r="P23" i="16" s="1"/>
  <c r="D22" i="16"/>
  <c r="L22" i="16" s="1"/>
  <c r="B22" i="16"/>
  <c r="P22" i="16" s="1"/>
  <c r="D21" i="16"/>
  <c r="R21" i="16" s="1"/>
  <c r="B21" i="16"/>
  <c r="P21" i="16" s="1"/>
  <c r="D20" i="16"/>
  <c r="R20" i="16" s="1"/>
  <c r="B20" i="16"/>
  <c r="M20" i="16" s="1"/>
  <c r="D19" i="16"/>
  <c r="O19" i="16" s="1"/>
  <c r="B19" i="16"/>
  <c r="P19" i="16" s="1"/>
  <c r="D18" i="16"/>
  <c r="R18" i="16" s="1"/>
  <c r="B18" i="16"/>
  <c r="M18" i="16" s="1"/>
  <c r="D17" i="16"/>
  <c r="R17" i="16" s="1"/>
  <c r="B17" i="16"/>
  <c r="M17" i="16" s="1"/>
  <c r="D16" i="16"/>
  <c r="R16" i="16" s="1"/>
  <c r="B16" i="16"/>
  <c r="P16" i="16" s="1"/>
  <c r="D15" i="16"/>
  <c r="O15" i="16" s="1"/>
  <c r="B15" i="16"/>
  <c r="P15" i="16" s="1"/>
  <c r="D14" i="16"/>
  <c r="L14" i="16" s="1"/>
  <c r="B14" i="16"/>
  <c r="J14" i="16" s="1"/>
  <c r="D13" i="16"/>
  <c r="R13" i="16" s="1"/>
  <c r="B13" i="16"/>
  <c r="M13" i="16" s="1"/>
  <c r="D12" i="16"/>
  <c r="R12" i="16" s="1"/>
  <c r="B12" i="16"/>
  <c r="M12" i="16" s="1"/>
  <c r="D11" i="16"/>
  <c r="L11" i="16" s="1"/>
  <c r="B11" i="16"/>
  <c r="P11" i="16" s="1"/>
  <c r="D10" i="16"/>
  <c r="R10" i="16" s="1"/>
  <c r="B10" i="16"/>
  <c r="M10" i="16" s="1"/>
  <c r="D9" i="16"/>
  <c r="R9" i="16" s="1"/>
  <c r="B9" i="16"/>
  <c r="M9" i="16" s="1"/>
  <c r="D8" i="16"/>
  <c r="O8" i="16" s="1"/>
  <c r="B8" i="16"/>
  <c r="P8" i="16" s="1"/>
  <c r="D7" i="16"/>
  <c r="L7" i="16" s="1"/>
  <c r="B7" i="16"/>
  <c r="P7" i="16" s="1"/>
  <c r="D6" i="16"/>
  <c r="L6" i="16" s="1"/>
  <c r="B6" i="16"/>
  <c r="J6" i="16" s="1"/>
  <c r="D5" i="16"/>
  <c r="R5" i="16" s="1"/>
  <c r="B5" i="16"/>
  <c r="P5" i="16" s="1"/>
  <c r="D4" i="16"/>
  <c r="L4" i="16" s="1"/>
  <c r="B4" i="16"/>
  <c r="P4" i="16" s="1"/>
  <c r="D26" i="11"/>
  <c r="B26" i="11"/>
  <c r="D25" i="11"/>
  <c r="B25" i="11"/>
  <c r="B24" i="11"/>
  <c r="D24" i="11"/>
  <c r="D23" i="11"/>
  <c r="B23" i="11"/>
  <c r="B22" i="11"/>
  <c r="D22" i="11"/>
  <c r="D21" i="11"/>
  <c r="B21" i="11"/>
  <c r="B20" i="11"/>
  <c r="D20" i="11"/>
  <c r="D19" i="11"/>
  <c r="B19" i="11"/>
  <c r="B18" i="11"/>
  <c r="D18" i="11"/>
  <c r="D17" i="11"/>
  <c r="B17" i="11"/>
  <c r="B16" i="11"/>
  <c r="D16" i="11"/>
  <c r="D15" i="11"/>
  <c r="B15" i="11"/>
  <c r="B14" i="11"/>
  <c r="D14" i="11"/>
  <c r="D13" i="11"/>
  <c r="B13" i="11"/>
  <c r="D12" i="11"/>
  <c r="B12" i="11"/>
  <c r="D11" i="11"/>
  <c r="B11" i="11"/>
  <c r="D10" i="11"/>
  <c r="B10" i="11"/>
  <c r="D9" i="11"/>
  <c r="B9" i="11"/>
  <c r="D8" i="11"/>
  <c r="B8" i="11"/>
  <c r="D7" i="11"/>
  <c r="B7" i="11"/>
  <c r="B6" i="11"/>
  <c r="D6" i="11"/>
  <c r="D5" i="11"/>
  <c r="B5" i="11"/>
  <c r="D4" i="11"/>
  <c r="B4" i="11"/>
  <c r="D3" i="11"/>
  <c r="B3" i="11"/>
  <c r="D2" i="11"/>
  <c r="B2" i="11"/>
  <c r="N56" i="16" l="1"/>
  <c r="K56" i="16"/>
  <c r="P28" i="16"/>
  <c r="J18" i="16"/>
  <c r="O28" i="16"/>
  <c r="L13" i="16"/>
  <c r="M28" i="16"/>
  <c r="L5" i="16"/>
  <c r="L28" i="16"/>
  <c r="Q35" i="16"/>
  <c r="Q42" i="16"/>
  <c r="Q33" i="16"/>
  <c r="M6" i="16"/>
  <c r="P13" i="16"/>
  <c r="J13" i="16"/>
  <c r="J10" i="16"/>
  <c r="O24" i="16"/>
  <c r="P18" i="16"/>
  <c r="M19" i="16"/>
  <c r="L18" i="16"/>
  <c r="J27" i="16"/>
  <c r="K37" i="16"/>
  <c r="J11" i="16"/>
  <c r="L10" i="16"/>
  <c r="M11" i="16"/>
  <c r="O16" i="16"/>
  <c r="O10" i="16"/>
  <c r="R23" i="16"/>
  <c r="R7" i="16"/>
  <c r="J26" i="16"/>
  <c r="J5" i="16"/>
  <c r="K50" i="16"/>
  <c r="M27" i="16"/>
  <c r="M5" i="16"/>
  <c r="R22" i="16"/>
  <c r="R6" i="16"/>
  <c r="J22" i="16"/>
  <c r="K35" i="16"/>
  <c r="L27" i="16"/>
  <c r="M22" i="16"/>
  <c r="O20" i="16"/>
  <c r="J21" i="16"/>
  <c r="L26" i="16"/>
  <c r="M21" i="16"/>
  <c r="O7" i="16"/>
  <c r="R15" i="16"/>
  <c r="J19" i="16"/>
  <c r="K39" i="16"/>
  <c r="K55" i="16"/>
  <c r="K47" i="16"/>
  <c r="L21" i="16"/>
  <c r="O12" i="16"/>
  <c r="R26" i="16"/>
  <c r="P10" i="16"/>
  <c r="K38" i="16"/>
  <c r="K54" i="16"/>
  <c r="K46" i="16"/>
  <c r="M14" i="16"/>
  <c r="O11" i="16"/>
  <c r="O6" i="16"/>
  <c r="R14" i="16"/>
  <c r="K52" i="16"/>
  <c r="K44" i="16"/>
  <c r="K51" i="16"/>
  <c r="K43" i="16"/>
  <c r="K33" i="16"/>
  <c r="K49" i="16"/>
  <c r="K40" i="16"/>
  <c r="K48" i="16"/>
  <c r="P20" i="16"/>
  <c r="P12" i="16"/>
  <c r="J25" i="16"/>
  <c r="J17" i="16"/>
  <c r="J9" i="16"/>
  <c r="L25" i="16"/>
  <c r="L17" i="16"/>
  <c r="L9" i="16"/>
  <c r="M26" i="16"/>
  <c r="O22" i="16"/>
  <c r="O18" i="16"/>
  <c r="O14" i="16"/>
  <c r="R4" i="16"/>
  <c r="P25" i="16"/>
  <c r="R19" i="16"/>
  <c r="P17" i="16"/>
  <c r="R11" i="16"/>
  <c r="P9" i="16"/>
  <c r="J24" i="16"/>
  <c r="J16" i="16"/>
  <c r="J8" i="16"/>
  <c r="L24" i="16"/>
  <c r="L16" i="16"/>
  <c r="L8" i="16"/>
  <c r="L29" i="16" s="1"/>
  <c r="O9" i="16"/>
  <c r="O5" i="16"/>
  <c r="R27" i="16"/>
  <c r="P14" i="16"/>
  <c r="R8" i="16"/>
  <c r="P6" i="16"/>
  <c r="P29" i="16" s="1"/>
  <c r="K32" i="16"/>
  <c r="J23" i="16"/>
  <c r="J15" i="16"/>
  <c r="J7" i="16"/>
  <c r="L23" i="16"/>
  <c r="L15" i="16"/>
  <c r="M24" i="16"/>
  <c r="M16" i="16"/>
  <c r="M8" i="16"/>
  <c r="O25" i="16"/>
  <c r="O21" i="16"/>
  <c r="O17" i="16"/>
  <c r="O13" i="16"/>
  <c r="M23" i="16"/>
  <c r="M15" i="16"/>
  <c r="M7" i="16"/>
  <c r="O4" i="16"/>
  <c r="J20" i="16"/>
  <c r="J12" i="16"/>
  <c r="L20" i="16"/>
  <c r="L12" i="16"/>
  <c r="J4" i="16"/>
  <c r="L19" i="16"/>
  <c r="M4" i="16"/>
  <c r="R29" i="16" l="1"/>
  <c r="R56" i="16" s="1"/>
  <c r="J29" i="16"/>
  <c r="J56" i="16" s="1"/>
  <c r="L56" i="16"/>
  <c r="M29" i="16"/>
  <c r="P56" i="16"/>
  <c r="O29" i="16"/>
  <c r="O42" i="16" s="1"/>
  <c r="M56" i="16"/>
  <c r="O56" i="16"/>
  <c r="N39" i="16"/>
  <c r="N32" i="16"/>
  <c r="N47" i="16"/>
  <c r="N35" i="16"/>
  <c r="N55" i="16"/>
  <c r="Q36" i="16"/>
  <c r="Q40" i="16"/>
  <c r="Q54" i="16"/>
  <c r="Q48" i="16"/>
  <c r="Q52" i="16"/>
  <c r="Q32" i="16"/>
  <c r="Q41" i="16"/>
  <c r="N46" i="16"/>
  <c r="P37" i="16"/>
  <c r="Q53" i="16"/>
  <c r="Q49" i="16"/>
  <c r="N33" i="16"/>
  <c r="Q51" i="16"/>
  <c r="N54" i="16"/>
  <c r="Q47" i="16"/>
  <c r="P48" i="16"/>
  <c r="P46" i="16"/>
  <c r="N40" i="16"/>
  <c r="N41" i="16"/>
  <c r="N42" i="16"/>
  <c r="N44" i="16"/>
  <c r="N34" i="16"/>
  <c r="N38" i="16"/>
  <c r="O38" i="16"/>
  <c r="O50" i="16"/>
  <c r="R43" i="16"/>
  <c r="N48" i="16"/>
  <c r="Q43" i="16"/>
  <c r="P45" i="16"/>
  <c r="N49" i="16"/>
  <c r="K45" i="16"/>
  <c r="Q44" i="16"/>
  <c r="N51" i="16"/>
  <c r="Q38" i="16"/>
  <c r="N37" i="16"/>
  <c r="R55" i="16"/>
  <c r="Q50" i="16"/>
  <c r="Q39" i="16"/>
  <c r="N50" i="16"/>
  <c r="N43" i="16"/>
  <c r="N36" i="16"/>
  <c r="R47" i="16"/>
  <c r="P34" i="16"/>
  <c r="P53" i="16"/>
  <c r="K41" i="16"/>
  <c r="K53" i="16"/>
  <c r="N45" i="16"/>
  <c r="Q37" i="16"/>
  <c r="Q46" i="16"/>
  <c r="R50" i="16"/>
  <c r="R36" i="16"/>
  <c r="R32" i="16"/>
  <c r="O39" i="16"/>
  <c r="R34" i="16"/>
  <c r="P41" i="16"/>
  <c r="N52" i="16"/>
  <c r="Q34" i="16"/>
  <c r="N53" i="16"/>
  <c r="Q55" i="16"/>
  <c r="Q45" i="16"/>
  <c r="K36" i="16"/>
  <c r="K42" i="16"/>
  <c r="K34" i="16"/>
  <c r="R54" i="16"/>
  <c r="J35" i="16"/>
  <c r="J45" i="16"/>
  <c r="M32" i="16"/>
  <c r="O48" i="16" l="1"/>
  <c r="O33" i="16"/>
  <c r="O44" i="16"/>
  <c r="O32" i="16"/>
  <c r="M34" i="16"/>
  <c r="M50" i="16"/>
  <c r="O45" i="16"/>
  <c r="O35" i="16"/>
  <c r="P36" i="16"/>
  <c r="P44" i="16"/>
  <c r="P52" i="16"/>
  <c r="P39" i="16"/>
  <c r="P43" i="16"/>
  <c r="P49" i="16"/>
  <c r="P50" i="16"/>
  <c r="P47" i="16"/>
  <c r="P32" i="16"/>
  <c r="P54" i="16"/>
  <c r="P51" i="16"/>
  <c r="P35" i="16"/>
  <c r="P55" i="16"/>
  <c r="P33" i="16"/>
  <c r="M52" i="16"/>
  <c r="R35" i="16"/>
  <c r="M35" i="16"/>
  <c r="O52" i="16"/>
  <c r="O41" i="16"/>
  <c r="M54" i="16"/>
  <c r="M33" i="16"/>
  <c r="O47" i="16"/>
  <c r="O51" i="16"/>
  <c r="O55" i="16"/>
  <c r="O43" i="16"/>
  <c r="O54" i="16"/>
  <c r="O36" i="16"/>
  <c r="R37" i="16"/>
  <c r="R41" i="16"/>
  <c r="R45" i="16"/>
  <c r="R53" i="16"/>
  <c r="R33" i="16"/>
  <c r="R49" i="16"/>
  <c r="R48" i="16"/>
  <c r="R38" i="16"/>
  <c r="R52" i="16"/>
  <c r="R46" i="16"/>
  <c r="R40" i="16"/>
  <c r="R44" i="16"/>
  <c r="M43" i="16"/>
  <c r="M49" i="16"/>
  <c r="O53" i="16"/>
  <c r="R42" i="16"/>
  <c r="O46" i="16"/>
  <c r="R39" i="16"/>
  <c r="M38" i="16"/>
  <c r="M46" i="16"/>
  <c r="M45" i="16"/>
  <c r="M48" i="16"/>
  <c r="M53" i="16"/>
  <c r="M40" i="16"/>
  <c r="M37" i="16"/>
  <c r="M41" i="16"/>
  <c r="M44" i="16"/>
  <c r="O40" i="16"/>
  <c r="P40" i="16"/>
  <c r="P42" i="16"/>
  <c r="M42" i="16"/>
  <c r="O37" i="16"/>
  <c r="M47" i="16"/>
  <c r="R51" i="16"/>
  <c r="M51" i="16"/>
  <c r="O34" i="16"/>
  <c r="M36" i="16"/>
  <c r="P38" i="16"/>
  <c r="O49" i="16"/>
  <c r="M39" i="16"/>
  <c r="M55" i="16"/>
  <c r="J53" i="16"/>
  <c r="J32" i="16"/>
  <c r="J36" i="16"/>
  <c r="L41" i="16"/>
  <c r="L39" i="16"/>
  <c r="L34" i="16"/>
  <c r="L35" i="16"/>
  <c r="L32" i="16"/>
  <c r="L33" i="16"/>
  <c r="L46" i="16"/>
  <c r="L38" i="16"/>
  <c r="L42" i="16"/>
  <c r="L50" i="16"/>
  <c r="L55" i="16"/>
  <c r="L54" i="16"/>
  <c r="L49" i="16"/>
  <c r="J44" i="16"/>
  <c r="L53" i="16"/>
  <c r="L47" i="16"/>
  <c r="L52" i="16"/>
  <c r="L45" i="16"/>
  <c r="J43" i="16"/>
  <c r="L40" i="16"/>
  <c r="L43" i="16"/>
  <c r="L44" i="16"/>
  <c r="L37" i="16"/>
  <c r="J38" i="16"/>
  <c r="J49" i="16"/>
  <c r="J39" i="16"/>
  <c r="J50" i="16"/>
  <c r="J46" i="16"/>
  <c r="J54" i="16"/>
  <c r="J47" i="16"/>
  <c r="J55" i="16"/>
  <c r="J33" i="16"/>
  <c r="J34" i="16"/>
  <c r="J42" i="16"/>
  <c r="J41" i="16"/>
  <c r="J37" i="16"/>
  <c r="L51" i="16"/>
  <c r="J40" i="16"/>
  <c r="J51" i="16"/>
  <c r="L36" i="16"/>
  <c r="J52" i="16"/>
  <c r="J48" i="16"/>
  <c r="L48" i="16"/>
</calcChain>
</file>

<file path=xl/sharedStrings.xml><?xml version="1.0" encoding="utf-8"?>
<sst xmlns="http://schemas.openxmlformats.org/spreadsheetml/2006/main" count="499" uniqueCount="191">
  <si>
    <t>Country</t>
  </si>
  <si>
    <t>Annual nitrous oxide emissions</t>
  </si>
  <si>
    <t>Concentrations of PM2.5</t>
  </si>
  <si>
    <t>Annual greenhouse gas emissions in CO2</t>
  </si>
  <si>
    <t>Manufacturing</t>
  </si>
  <si>
    <t>AHDI</t>
  </si>
  <si>
    <t>GDP per capita</t>
  </si>
  <si>
    <t>Albania</t>
  </si>
  <si>
    <t>Armenia</t>
  </si>
  <si>
    <t>Austria</t>
  </si>
  <si>
    <t>Azerbaijan</t>
  </si>
  <si>
    <t>Belarus</t>
  </si>
  <si>
    <t>Belgium</t>
  </si>
  <si>
    <t>Bulgaria</t>
  </si>
  <si>
    <t>Canada</t>
  </si>
  <si>
    <t>Croatia</t>
  </si>
  <si>
    <t>Cyprus</t>
  </si>
  <si>
    <t>Czechia</t>
  </si>
  <si>
    <t>Denmark</t>
  </si>
  <si>
    <t>Estonia</t>
  </si>
  <si>
    <t>Finland</t>
  </si>
  <si>
    <t>France</t>
  </si>
  <si>
    <t>Georgia</t>
  </si>
  <si>
    <t>Germany</t>
  </si>
  <si>
    <t>Greece</t>
  </si>
  <si>
    <t>Hungary</t>
  </si>
  <si>
    <t>Iceland</t>
  </si>
  <si>
    <t>Ireland</t>
  </si>
  <si>
    <t>Israel</t>
  </si>
  <si>
    <t>Italy</t>
  </si>
  <si>
    <t>Kazakhstan</t>
  </si>
  <si>
    <t>Kyrgyzstan</t>
  </si>
  <si>
    <t>Latvia</t>
  </si>
  <si>
    <t>Lithuania</t>
  </si>
  <si>
    <t>Malta</t>
  </si>
  <si>
    <t>Netherlands</t>
  </si>
  <si>
    <t>Norway</t>
  </si>
  <si>
    <t>Poland</t>
  </si>
  <si>
    <t>Portugal</t>
  </si>
  <si>
    <t>Romania</t>
  </si>
  <si>
    <t>Serbia</t>
  </si>
  <si>
    <t>Slovakia</t>
  </si>
  <si>
    <t>Slovenia</t>
  </si>
  <si>
    <t>Spain</t>
  </si>
  <si>
    <t>Sweden</t>
  </si>
  <si>
    <t>Switzerland</t>
  </si>
  <si>
    <t>Tajikistan</t>
  </si>
  <si>
    <t>Ukraine</t>
  </si>
  <si>
    <t>United Kingdom</t>
  </si>
  <si>
    <t>United States</t>
  </si>
  <si>
    <t>Uzbekistan</t>
  </si>
  <si>
    <t>INPUT/ OUTPUT</t>
  </si>
  <si>
    <t>Code</t>
  </si>
  <si>
    <t>License Type</t>
  </si>
  <si>
    <t>Indicator Name</t>
  </si>
  <si>
    <t>Short definition</t>
  </si>
  <si>
    <t>Long definition</t>
  </si>
  <si>
    <t>Source</t>
  </si>
  <si>
    <t>Topic</t>
  </si>
  <si>
    <t>Dataset</t>
  </si>
  <si>
    <t>Unit of measure</t>
  </si>
  <si>
    <t>Periodicity</t>
  </si>
  <si>
    <t>Aggregation method</t>
  </si>
  <si>
    <t>License URL</t>
  </si>
  <si>
    <t xml:space="preserve">OUTPUT </t>
  </si>
  <si>
    <t>EN.ATM.CO2E.PC</t>
  </si>
  <si>
    <t>Attribution-NonCommercial 4.0 International (CC BY-NC 4.0)</t>
  </si>
  <si>
    <t>CO2 emissions (metric tons per capita)</t>
  </si>
  <si>
    <t>Carbon dioxide emissions are those stemming from the burning of fossil fuels and the manufacture of cement. They include carbon dioxide produced during consumption of solid, liquid, and gas fuels and gas flaring.</t>
  </si>
  <si>
    <t>Emissions data are sourced from Climate Watch Historical GHG Emissions (1990-2020). 2023. Washington, DC: World Resources Institute. Available online at: https://www.climatewatchdata.org/ghg-emissions</t>
  </si>
  <si>
    <t>Environment: Emissions</t>
  </si>
  <si>
    <t>Annual</t>
  </si>
  <si>
    <t>Weighted average</t>
  </si>
  <si>
    <t>https://creativecommons.org/licenses/by-nc/4.0/</t>
  </si>
  <si>
    <t>NY.GDP.PCAP.CD</t>
  </si>
  <si>
    <t>CC BY-4.0</t>
  </si>
  <si>
    <t>GDP per capita (current US$)</t>
  </si>
  <si>
    <t>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</si>
  <si>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World Bank national accounts data, and OECD National Accounts data files.</t>
  </si>
  <si>
    <t>Economic Policy &amp; Debt: National accounts: US$ at current prices: Aggregate indicators</t>
  </si>
  <si>
    <t>https://datacatalog.worldbank.org/public-licenses#cc-by</t>
  </si>
  <si>
    <t>NV.IND.MANF.ZS</t>
  </si>
  <si>
    <t>Manufacturing, value added (% of GDP)</t>
  </si>
  <si>
    <t>Manufacturing refers to industries belonging to ISIC divisions 15-37. Value added is the net output of a sector after adding up all outputs and subtracting intermediate inputs. It is calculated without making deductions for depreciation of fabricated assets or depletion and degradation of natural resources. The origin of value added is determined by the International Standard Industrial Classification (ISIC), revision 3. Note: For VAB countries, gross value added at factor cost is used as the denominator.</t>
  </si>
  <si>
    <t>Economic Policy &amp; Debt: National accounts: Shares of GDP &amp; other</t>
  </si>
  <si>
    <t>NY.GDP.TOTL.RT.ZS</t>
  </si>
  <si>
    <t>Total natural resources rents (% of GDP)</t>
  </si>
  <si>
    <t>Total natural resources rents are the sum of oil rents, natural gas rents, coal rents (hard and soft), mineral rents, and forest rents.</t>
  </si>
  <si>
    <t>World Bank staff estimates based on sources and methods described in the World Bank's The Changing Wealth of Nations.</t>
  </si>
  <si>
    <t>Environment: Natural resources contribution to GDP</t>
  </si>
  <si>
    <t>TG.VAL.TOTL.GD.ZS</t>
  </si>
  <si>
    <t>Merchandise trade (% of GDP)</t>
  </si>
  <si>
    <t>Merchandise trade as a share of GDP is the sum of merchandise exports and imports divided by the value of GDP, all in current U.S. dollars.</t>
  </si>
  <si>
    <t>World Trade Organization, and World Bank GDP estimates.</t>
  </si>
  <si>
    <t>Private Sector &amp; Trade: Total merchandise trade</t>
  </si>
  <si>
    <t>EN.ATM.PM25.MC.ZS</t>
  </si>
  <si>
    <t>PM2.5 air pollution, population exposed to levels exceeding WHO guideline value (% of total)</t>
  </si>
  <si>
    <t>Percent of population exposed to ambient concentrations of PM2.5 that exceed the WHO guideline value is defined as the portion of a country’s population living in places where mean annual concentrations of PM2.5 are greater than 10 micrograms per cubic meter, the guideline value recommended by the World Health Organization as the lower end of the range of concentrations over which adverse health effects due to PM2.5 exposure have been observed.</t>
  </si>
  <si>
    <t>Brauer, M. et al. 2017, for the Global Burden of Disease Study 2017.</t>
  </si>
  <si>
    <t>EN.GHG.ALL.LU.MT.CE.AR5</t>
  </si>
  <si>
    <t>CC BY-4.1</t>
  </si>
  <si>
    <t>Total greenhouse gas emissions including LULUCF (Mt CO2e)</t>
  </si>
  <si>
    <t>A measure of annual emissions of the six greenhouse gases (GHG) covered by the Kyoto Protocol (carbon dioxide (CO2), methane (CH4), nitrous oxide (N2O), hydrofluorocarbons (HFCs), perfluorocarbons (PFCs), and sulphurhexafluoride (SF6)) from the energy, industry, waste, agriculture, and land use, land use changes, and forestry (LULUCF) sectors, standardized to carbon dioxide equivalent values. The measure is standardized to carbon dioxide equivalent values using the Global Warming Potential (GWP) factors of IPCC's 5th Assessment Report (AR5).</t>
  </si>
  <si>
    <t>EDGAR (Emissions Database for Global Atmospheric Research) Community GHG Database, a collaboration between the European Commission, Joint Research Centre (JRC), the International Energy Agency (IEA), and comprising IEA-EDGAR CO2, EDGAR CH4, EDGAR N2O, EDGAR F-GASES version 8.0, (2023) European Commission, JRC (Datasets). https://edgar.jrc.ec.europa.eu/dataset_ghg72; Grassi, G., Conchedda, G., Federici, S., Abad Viñas, R., Korosuo, A., Melo, J., Rossi, S., Sandker, M., Somogyi, Z., and Tubiello, F. N.: Carbon fluxes from land 2000–2020: bringing clarity on countries’ reporting, Earth Syst. Sci. Data, 14, 4643–4666, 2022, doi:10.5194/essd-14-4643-2022. Data available from https://doi.org/10.5281/zenodo.7190601</t>
  </si>
  <si>
    <t>WDI</t>
  </si>
  <si>
    <t>Mt CO2eq</t>
  </si>
  <si>
    <t>Sum</t>
  </si>
  <si>
    <t>NY.GDP.MKTP.CD</t>
  </si>
  <si>
    <t>GDP (current US$)</t>
  </si>
  <si>
    <t>GDP at purchaser's prices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 Dollar figures for GDP are converted from domestic currencies using single year official exchange rates. For a few countries where the official exchange rate does not reflect the rate effectively applied to actual foreign exchange transactions, an alternative conversion factor is used.</t>
  </si>
  <si>
    <t>Gap-filled total</t>
  </si>
  <si>
    <t>SI.POV.GINI</t>
  </si>
  <si>
    <t>Gini index</t>
  </si>
  <si>
    <t>The Gini index measures the extent to which the distribution of income or consumption among individuals or households within an economy deviates from a perfectly equal distribution. A Gini index of 0 represents perfect equality, while an index of 100 implies perfect inequality.</t>
  </si>
  <si>
    <t>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</si>
  <si>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World Bank, Poverty and Inequality Platform. Data are based on primary household survey data obtained from government statistical agencies and World Bank country departments. Data for high-income economies are mostly from the Luxembourg Income Study database. For more information and methodology, please see http://pip.worldbank.org.</t>
  </si>
  <si>
    <t>Poverty: Income distribution</t>
  </si>
  <si>
    <t>%</t>
  </si>
  <si>
    <t>Efficiency</t>
  </si>
  <si>
    <t>Output Slack 3</t>
  </si>
  <si>
    <t>Output Slack 2</t>
  </si>
  <si>
    <t>Output Slack 1</t>
  </si>
  <si>
    <t>Input Slack 3</t>
  </si>
  <si>
    <t>Input Slack 2</t>
  </si>
  <si>
    <t>Input Slack 1</t>
  </si>
  <si>
    <t>Lambda for DMU 25</t>
  </si>
  <si>
    <t>Lambda for DMU 24</t>
  </si>
  <si>
    <t>Lambda for DMU 23</t>
  </si>
  <si>
    <t>Lambda for DMU 22</t>
  </si>
  <si>
    <t>Lambda for DMU 21</t>
  </si>
  <si>
    <t>Lambda for DMU 20</t>
  </si>
  <si>
    <t>Lambda for DMU 19</t>
  </si>
  <si>
    <t>Lambda for DMU 18</t>
  </si>
  <si>
    <t>Lambda for DMU 17</t>
  </si>
  <si>
    <t>Lambda for DMU 16</t>
  </si>
  <si>
    <t>Lambda for DMU 15</t>
  </si>
  <si>
    <t>Lambda for DMU 14</t>
  </si>
  <si>
    <t>Lambda for DMU 13</t>
  </si>
  <si>
    <t>Lambda for DMU 12</t>
  </si>
  <si>
    <t>Lambda for DMU 11</t>
  </si>
  <si>
    <t>Lambda for DMU 10</t>
  </si>
  <si>
    <t>Lambda for DMU 9</t>
  </si>
  <si>
    <t>Lambda for DMU 8</t>
  </si>
  <si>
    <t>Lambda for DMU 7</t>
  </si>
  <si>
    <t>Lambda for DMU 6</t>
  </si>
  <si>
    <t>Lambda for DMU 5</t>
  </si>
  <si>
    <t>Lambda for DMU 4</t>
  </si>
  <si>
    <t>Lambda for DMU 3</t>
  </si>
  <si>
    <t>Lambda for DMU 2</t>
  </si>
  <si>
    <t>Lambda for DMU 1</t>
  </si>
  <si>
    <t xml:space="preserve">Efficiency </t>
  </si>
  <si>
    <t xml:space="preserve">Manufacturing </t>
  </si>
  <si>
    <t>NO2</t>
  </si>
  <si>
    <t>PM2.5</t>
  </si>
  <si>
    <t>Greenhouse</t>
  </si>
  <si>
    <t>GDP</t>
  </si>
  <si>
    <t>MAX</t>
  </si>
  <si>
    <t>MVA/PM2.5</t>
  </si>
  <si>
    <t>MVA/CO2</t>
  </si>
  <si>
    <t>AHDI/N2O</t>
  </si>
  <si>
    <t>AHDI/PM2.5</t>
  </si>
  <si>
    <t>AHDI/CO2</t>
  </si>
  <si>
    <t>GDP per capita/N2O</t>
  </si>
  <si>
    <t>GDP per capita/PM2.5</t>
  </si>
  <si>
    <t>GDP per capita/CO2</t>
  </si>
  <si>
    <t>Belarus : 1.0</t>
  </si>
  <si>
    <t>Canada : 1.0</t>
  </si>
  <si>
    <t>Czechia : 1.0</t>
  </si>
  <si>
    <t>Finland : 1.0</t>
  </si>
  <si>
    <t>Iceland : 1.0</t>
  </si>
  <si>
    <t>Lithuania : 1.0</t>
  </si>
  <si>
    <t>United Kingdom : 1.0</t>
  </si>
  <si>
    <t>United States : 1.0</t>
  </si>
  <si>
    <t>Bulgaria : 0.48</t>
  </si>
  <si>
    <t>Albania : 0.33</t>
  </si>
  <si>
    <t>Belgium : 0.46</t>
  </si>
  <si>
    <t>Cyprus : 0.40</t>
  </si>
  <si>
    <t>France : 0.50</t>
  </si>
  <si>
    <t>Greece : 0.37</t>
  </si>
  <si>
    <t>Georgia : 0.35</t>
  </si>
  <si>
    <t>Israel : 0.28</t>
  </si>
  <si>
    <t>Italy : 0.37</t>
  </si>
  <si>
    <t>Kazakhstan : 0.87</t>
  </si>
  <si>
    <t>Malta : 0.42</t>
  </si>
  <si>
    <t>Netherlands : 0.56</t>
  </si>
  <si>
    <t>Portugal : 0.67</t>
  </si>
  <si>
    <t>Serbia : 0.57</t>
  </si>
  <si>
    <t>Slovakia : 0.81</t>
  </si>
  <si>
    <t>Spain : 0.52</t>
  </si>
  <si>
    <t>Uzbekistan : 0.47</t>
  </si>
  <si>
    <t>MVA/ N2O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</si>
</sst>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6" x14ac:knownFonts="1">
    <font>
      <sz val="11"/>
      <color theme="1"/>
      <name val="Aptos Narrow"/>
      <family val="2"/>
      <scheme val="minor"/>
    </font>
    <font>
      <b/>
      <sz val="11"/>
      <color theme="1"/>
      <name val="Aptos Narrow"/>
      <family val="2"/>
      <scheme val="minor"/>
    </font>
    <font>
      <sz val="11"/>
      <color rgb="FF000000"/>
      <name val="Calibri"/>
      <family val="2"/>
    </font>
    <font>
      <sz val="11"/>
      <color rgb="FF000000"/>
      <name val="Aptos Narrow"/>
      <family val="2"/>
    </font>
    <font>
      <b/>
      <sz val="11"/>
      <name val="Calibri"/>
      <family val="2"/>
    </font>
    <font>
      <sz val="11"/>
      <color rgb="FF000000"/>
      <name val="Aptos Narrow"/>
      <family val="2"/>
    </font>
  </fonts>
  <fills count="7">
    <fill>
      <patternFill patternType="none"/>
    </fill>
    <fill>
      <patternFill patternType="gray125"/>
    </fill>
    <fill>
      <patternFill patternType="solid">
        <fgColor theme="2"/>
        <bgColor indexed="64"/>
      </patternFill>
    </fill>
    <fill>
      <patternFill patternType="solid">
        <fgColor rgb="FFFFFF00"/>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3" tint="0.89999084444715716"/>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4">
    <xf numFmtId="0" fontId="0" fillId="0" borderId="0" xfId="0"/>
    <xf numFmtId="0" fontId="2" fillId="0" borderId="0" xfId="0" applyFont="1"/>
    <xf numFmtId="3" fontId="0" fillId="0" borderId="0" xfId="0" applyNumberFormat="1"/>
    <xf numFmtId="11" fontId="0" fillId="0" borderId="0" xfId="0" applyNumberFormat="1"/>
    <xf numFmtId="0" fontId="0" fillId="2" borderId="0" xfId="0" applyFill="1"/>
    <xf numFmtId="164" fontId="0" fillId="2" borderId="0" xfId="0" applyNumberFormat="1" applyFill="1"/>
    <xf numFmtId="164" fontId="0" fillId="0" borderId="0" xfId="0" applyNumberFormat="1"/>
    <xf numFmtId="0" fontId="2" fillId="0" borderId="0" xfId="0" applyFont="1" applyAlignment="1">
      <alignment wrapText="1"/>
    </xf>
    <xf numFmtId="0" fontId="0" fillId="0" borderId="0" xfId="0" applyAlignment="1">
      <alignment wrapText="1"/>
    </xf>
    <xf numFmtId="0" fontId="1" fillId="0" borderId="0" xfId="0" applyFont="1" applyAlignment="1">
      <alignment wrapText="1"/>
    </xf>
    <xf numFmtId="0" fontId="3" fillId="0" borderId="0" xfId="0" applyFont="1"/>
    <xf numFmtId="0" fontId="0" fillId="4" borderId="0" xfId="0" applyFill="1"/>
    <xf numFmtId="0" fontId="1" fillId="5" borderId="0" xfId="0" applyFont="1" applyFill="1"/>
    <xf numFmtId="0" fontId="0" fillId="5" borderId="0" xfId="0" applyFill="1"/>
    <xf numFmtId="0" fontId="1" fillId="0" borderId="0" xfId="0" applyFont="1"/>
    <xf numFmtId="0" fontId="0" fillId="3" borderId="0" xfId="0" applyFill="1"/>
    <xf numFmtId="0" fontId="4" fillId="0" borderId="1" xfId="0" applyFont="1" applyBorder="1" applyAlignment="1">
      <alignment horizontal="center" vertical="top"/>
    </xf>
    <xf numFmtId="0" fontId="5" fillId="0" borderId="0" xfId="0" applyFont="1"/>
    <xf numFmtId="0" fontId="4" fillId="4" borderId="1" xfId="0" applyFont="1" applyFill="1" applyBorder="1" applyAlignment="1">
      <alignment horizontal="center" vertical="top"/>
    </xf>
    <xf numFmtId="0" fontId="4" fillId="5" borderId="1" xfId="0" applyFont="1" applyFill="1" applyBorder="1" applyAlignment="1">
      <alignment horizontal="center" vertical="top"/>
    </xf>
    <xf numFmtId="0" fontId="0" fillId="6" borderId="0" xfId="0" applyFill="1"/>
    <xf numFmtId="0" fontId="4" fillId="6" borderId="1" xfId="0" applyFont="1" applyFill="1" applyBorder="1" applyAlignment="1">
      <alignment horizontal="center" vertical="top"/>
    </xf>
    <xf numFmtId="0" fontId="1" fillId="3" borderId="0" xfId="0" applyFont="1" applyFill="1"/>
    <xf numFmtId="0" fontId="0" fillId="0" borderId="0" xfId="0"/>
  </cellXfs>
  <cellStyles count="1">
    <cellStyle name="Normal" xfId="0" builtinId="0"/>
  </cellStyles>
  <dxfs count="51">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
      <font>
        <strike val="0"/>
        <condense val="0"/>
        <extend val="0"/>
        <outline val="0"/>
        <shadow val="0"/>
        <vertAlign val="baseline"/>
        <sz val="11"/>
        <color rgb="FF000000"/>
        <name val="Calibri"/>
        <family val="2"/>
      </font>
      <alignment horizontal="general" vertical="bottom" wrapText="1"/>
    </dxf>
  </dxfs>
  <tableStyles count="0" defaultTableStyle="TableStyleMedium2" defaultPivotStyle="PivotStyleLight16"/>
  <colors>
    <mruColors>
      <color rgb="FF9933FF"/>
      <color rgb="FF66FF99"/>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r>
              <a:rPr lang="en-US" sz="1600"/>
              <a:t>Radar Plot with ratios of Outputs/Inputs and Efficiency scores</a:t>
            </a:r>
          </a:p>
        </c:rich>
      </c:tx>
      <c:layout>
        <c:manualLayout>
          <c:xMode val="edge"/>
          <c:yMode val="edge"/>
          <c:x val="0.33198283745016438"/>
          <c:y val="6.1768557409152686E-2"/>
        </c:manualLayout>
      </c:layout>
      <c:overlay val="0"/>
      <c:spPr>
        <a:noFill/>
        <a:ln>
          <a:noFill/>
        </a:ln>
        <a:effectLst/>
      </c:spPr>
      <c:txPr>
        <a:bodyPr rot="0" spcFirstLastPara="1" vertOverflow="ellipsis" vert="horz" wrap="square" anchor="ctr" anchorCtr="1"/>
        <a:lstStyle/>
        <a:p>
          <a:pPr algn="ct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16958047777914476"/>
          <c:y val="0.22659032069826165"/>
          <c:w val="0.62158780008389736"/>
          <c:h val="0.76456017494515227"/>
        </c:manualLayout>
      </c:layout>
      <c:radarChart>
        <c:radarStyle val="marker"/>
        <c:varyColors val="0"/>
        <c:ser>
          <c:idx val="0"/>
          <c:order val="0"/>
          <c:tx>
            <c:strRef>
              <c:f>'Radar Plot Analysis'!$I$32</c:f>
              <c:strCache>
                <c:ptCount val="1"/>
                <c:pt idx="0">
                  <c:v>Albania : 0.33</c:v>
                </c:pt>
              </c:strCache>
            </c:strRef>
          </c:tx>
          <c:spPr>
            <a:ln w="28575" cap="rnd">
              <a:solidFill>
                <a:schemeClr val="accent1"/>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Analysis'!$J$32:$R$32</c:f>
              <c:numCache>
                <c:formatCode>General</c:formatCode>
                <c:ptCount val="9"/>
                <c:pt idx="0">
                  <c:v>4.5128131850496619E-2</c:v>
                </c:pt>
                <c:pt idx="1">
                  <c:v>0.11854586648466482</c:v>
                </c:pt>
                <c:pt idx="2">
                  <c:v>7.3169747562084539E-2</c:v>
                </c:pt>
                <c:pt idx="3">
                  <c:v>5.5332394609996213E-2</c:v>
                </c:pt>
                <c:pt idx="4">
                  <c:v>0.2131746123076774</c:v>
                </c:pt>
                <c:pt idx="5">
                  <c:v>8.9714711857156487E-2</c:v>
                </c:pt>
                <c:pt idx="6">
                  <c:v>2.1894626230171063E-2</c:v>
                </c:pt>
                <c:pt idx="7">
                  <c:v>8.449725693666095E-2</c:v>
                </c:pt>
                <c:pt idx="8">
                  <c:v>3.549945917404914E-2</c:v>
                </c:pt>
              </c:numCache>
            </c:numRef>
          </c:val>
          <c:extLst>
            <c:ext xmlns:c16="http://schemas.microsoft.com/office/drawing/2014/chart" uri="{C3380CC4-5D6E-409C-BE32-E72D297353CC}">
              <c16:uniqueId val="{00000000-D771-4493-808D-8C29A12DA78C}"/>
            </c:ext>
          </c:extLst>
        </c:ser>
        <c:ser>
          <c:idx val="1"/>
          <c:order val="1"/>
          <c:tx>
            <c:strRef>
              <c:f>'Radar Plot Analysis'!$I$33</c:f>
              <c:strCache>
                <c:ptCount val="1"/>
                <c:pt idx="0">
                  <c:v>Belarus : 1.0</c:v>
                </c:pt>
              </c:strCache>
            </c:strRef>
          </c:tx>
          <c:spPr>
            <a:ln w="28575" cap="rnd">
              <a:solidFill>
                <a:schemeClr val="accent2"/>
              </a:solidFill>
              <a:prstDash val="sys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Analysis'!$J$33:$R$33</c:f>
              <c:numCache>
                <c:formatCode>General</c:formatCode>
                <c:ptCount val="9"/>
                <c:pt idx="0">
                  <c:v>4.9537258207881449E-2</c:v>
                </c:pt>
                <c:pt idx="1">
                  <c:v>0.49671214980516265</c:v>
                </c:pt>
                <c:pt idx="2">
                  <c:v>0.16701455004435414</c:v>
                </c:pt>
                <c:pt idx="3">
                  <c:v>1.2875685683045129E-2</c:v>
                </c:pt>
                <c:pt idx="4">
                  <c:v>0.18934774634737575</c:v>
                </c:pt>
                <c:pt idx="5">
                  <c:v>4.3410292144997614E-2</c:v>
                </c:pt>
                <c:pt idx="6">
                  <c:v>1.1739250314640728E-2</c:v>
                </c:pt>
                <c:pt idx="7">
                  <c:v>0.17293352572920032</c:v>
                </c:pt>
                <c:pt idx="8">
                  <c:v>3.9578807549866084E-2</c:v>
                </c:pt>
              </c:numCache>
            </c:numRef>
          </c:val>
          <c:extLst>
            <c:ext xmlns:c16="http://schemas.microsoft.com/office/drawing/2014/chart" uri="{C3380CC4-5D6E-409C-BE32-E72D297353CC}">
              <c16:uniqueId val="{00000001-D771-4493-808D-8C29A12DA78C}"/>
            </c:ext>
          </c:extLst>
        </c:ser>
        <c:ser>
          <c:idx val="2"/>
          <c:order val="2"/>
          <c:tx>
            <c:strRef>
              <c:f>'Radar Plot Analysis'!$I$34</c:f>
              <c:strCache>
                <c:ptCount val="1"/>
                <c:pt idx="0">
                  <c:v>Belgium : 0.46</c:v>
                </c:pt>
              </c:strCache>
            </c:strRef>
          </c:tx>
          <c:spPr>
            <a:ln w="28575" cap="rnd">
              <a:solidFill>
                <a:schemeClr val="accent3"/>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Analysis'!$J$34:$R$34</c:f>
              <c:numCache>
                <c:formatCode>General</c:formatCode>
                <c:ptCount val="9"/>
                <c:pt idx="0">
                  <c:v>1.3894511494224791E-2</c:v>
                </c:pt>
                <c:pt idx="1">
                  <c:v>0.37928243156212876</c:v>
                </c:pt>
                <c:pt idx="2">
                  <c:v>1.3386599415474801E-2</c:v>
                </c:pt>
                <c:pt idx="3">
                  <c:v>1.0968040505418527E-2</c:v>
                </c:pt>
                <c:pt idx="4">
                  <c:v>0.43910203149491706</c:v>
                </c:pt>
                <c:pt idx="5">
                  <c:v>1.0567105196880569E-2</c:v>
                </c:pt>
                <c:pt idx="6">
                  <c:v>1.1572287636399744E-2</c:v>
                </c:pt>
                <c:pt idx="7">
                  <c:v>0.46409263789776056</c:v>
                </c:pt>
                <c:pt idx="8">
                  <c:v>1.114926415178572E-2</c:v>
                </c:pt>
              </c:numCache>
            </c:numRef>
          </c:val>
          <c:extLst>
            <c:ext xmlns:c16="http://schemas.microsoft.com/office/drawing/2014/chart" uri="{C3380CC4-5D6E-409C-BE32-E72D297353CC}">
              <c16:uniqueId val="{00000002-D771-4493-808D-8C29A12DA78C}"/>
            </c:ext>
          </c:extLst>
        </c:ser>
        <c:ser>
          <c:idx val="3"/>
          <c:order val="3"/>
          <c:tx>
            <c:strRef>
              <c:f>'Radar Plot Analysis'!$I$35</c:f>
              <c:strCache>
                <c:ptCount val="1"/>
                <c:pt idx="0">
                  <c:v>Bulgaria : 0.48</c:v>
                </c:pt>
              </c:strCache>
            </c:strRef>
          </c:tx>
          <c:spPr>
            <a:ln w="28575" cap="rnd">
              <a:solidFill>
                <a:schemeClr val="accent4"/>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Analysis'!$J$35:$R$35</c:f>
              <c:numCache>
                <c:formatCode>General</c:formatCode>
                <c:ptCount val="9"/>
                <c:pt idx="0">
                  <c:v>0.1307903815923111</c:v>
                </c:pt>
                <c:pt idx="1">
                  <c:v>0.26501508126970119</c:v>
                </c:pt>
                <c:pt idx="2">
                  <c:v>0.11072799716325785</c:v>
                </c:pt>
                <c:pt idx="3">
                  <c:v>7.3464383536781225E-2</c:v>
                </c:pt>
                <c:pt idx="4">
                  <c:v>0.21831751404289221</c:v>
                </c:pt>
                <c:pt idx="5">
                  <c:v>6.2195430220683842E-2</c:v>
                </c:pt>
                <c:pt idx="6">
                  <c:v>4.192004538429471E-2</c:v>
                </c:pt>
                <c:pt idx="7">
                  <c:v>0.12479079214662027</c:v>
                </c:pt>
                <c:pt idx="8">
                  <c:v>3.5489786098068105E-2</c:v>
                </c:pt>
              </c:numCache>
            </c:numRef>
          </c:val>
          <c:extLst>
            <c:ext xmlns:c16="http://schemas.microsoft.com/office/drawing/2014/chart" uri="{C3380CC4-5D6E-409C-BE32-E72D297353CC}">
              <c16:uniqueId val="{00000003-D771-4493-808D-8C29A12DA78C}"/>
            </c:ext>
          </c:extLst>
        </c:ser>
        <c:ser>
          <c:idx val="4"/>
          <c:order val="4"/>
          <c:tx>
            <c:strRef>
              <c:f>'Radar Plot Analysis'!$I$36</c:f>
              <c:strCache>
                <c:ptCount val="1"/>
                <c:pt idx="0">
                  <c:v>Canada : 1.0</c:v>
                </c:pt>
              </c:strCache>
            </c:strRef>
          </c:tx>
          <c:spPr>
            <a:ln w="28575" cap="rnd">
              <a:solidFill>
                <a:schemeClr val="accent5"/>
              </a:solidFill>
              <a:prstDash val="sys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Analysis'!$J$36:$R$36</c:f>
              <c:numCache>
                <c:formatCode>General</c:formatCode>
                <c:ptCount val="9"/>
                <c:pt idx="0">
                  <c:v>0.78210039878294813</c:v>
                </c:pt>
                <c:pt idx="1">
                  <c:v>0.55368789634840265</c:v>
                </c:pt>
                <c:pt idx="2">
                  <c:v>0.50545865872544526</c:v>
                </c:pt>
                <c:pt idx="3">
                  <c:v>0.86072175554219743</c:v>
                </c:pt>
                <c:pt idx="4">
                  <c:v>0.89368045395476525</c:v>
                </c:pt>
                <c:pt idx="5">
                  <c:v>0.55627035195120667</c:v>
                </c:pt>
                <c:pt idx="6">
                  <c:v>0.92558374053677472</c:v>
                </c:pt>
                <c:pt idx="7">
                  <c:v>0.96268511004067148</c:v>
                </c:pt>
                <c:pt idx="8">
                  <c:v>0.59818958890422058</c:v>
                </c:pt>
              </c:numCache>
            </c:numRef>
          </c:val>
          <c:extLst>
            <c:ext xmlns:c16="http://schemas.microsoft.com/office/drawing/2014/chart" uri="{C3380CC4-5D6E-409C-BE32-E72D297353CC}">
              <c16:uniqueId val="{00000004-D771-4493-808D-8C29A12DA78C}"/>
            </c:ext>
          </c:extLst>
        </c:ser>
        <c:ser>
          <c:idx val="5"/>
          <c:order val="5"/>
          <c:tx>
            <c:strRef>
              <c:f>'Radar Plot Analysis'!$I$37</c:f>
              <c:strCache>
                <c:ptCount val="1"/>
                <c:pt idx="0">
                  <c:v>Cyprus : 0.40</c:v>
                </c:pt>
              </c:strCache>
            </c:strRef>
          </c:tx>
          <c:spPr>
            <a:ln w="28575" cap="rnd">
              <a:solidFill>
                <a:schemeClr val="accent6"/>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Analysis'!$J$37:$R$37</c:f>
              <c:numCache>
                <c:formatCode>General</c:formatCode>
                <c:ptCount val="9"/>
                <c:pt idx="0">
                  <c:v>3.8308490686160254E-2</c:v>
                </c:pt>
                <c:pt idx="1">
                  <c:v>0.11176926143477549</c:v>
                </c:pt>
                <c:pt idx="2">
                  <c:v>2.2426607436107793E-2</c:v>
                </c:pt>
                <c:pt idx="3">
                  <c:v>8.6537695251253044E-2</c:v>
                </c:pt>
                <c:pt idx="4">
                  <c:v>0.37029651144778847</c:v>
                </c:pt>
                <c:pt idx="5">
                  <c:v>5.0661012351669518E-2</c:v>
                </c:pt>
                <c:pt idx="6">
                  <c:v>6.0873784259229929E-2</c:v>
                </c:pt>
                <c:pt idx="7">
                  <c:v>0.26092978443685633</c:v>
                </c:pt>
                <c:pt idx="8">
                  <c:v>3.5636811533931612E-2</c:v>
                </c:pt>
              </c:numCache>
            </c:numRef>
          </c:val>
          <c:extLst>
            <c:ext xmlns:c16="http://schemas.microsoft.com/office/drawing/2014/chart" uri="{C3380CC4-5D6E-409C-BE32-E72D297353CC}">
              <c16:uniqueId val="{00000005-D771-4493-808D-8C29A12DA78C}"/>
            </c:ext>
          </c:extLst>
        </c:ser>
        <c:ser>
          <c:idx val="6"/>
          <c:order val="6"/>
          <c:tx>
            <c:strRef>
              <c:f>'Radar Plot Analysis'!$I$38</c:f>
              <c:strCache>
                <c:ptCount val="1"/>
                <c:pt idx="0">
                  <c:v>Czechia : 1.0</c:v>
                </c:pt>
              </c:strCache>
            </c:strRef>
          </c:tx>
          <c:spPr>
            <a:ln w="28575" cap="rnd">
              <a:solidFill>
                <a:schemeClr val="accent1">
                  <a:lumMod val="60000"/>
                </a:schemeClr>
              </a:solidFill>
              <a:prstDash val="sys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Analysis'!$J$38:$R$38</c:f>
              <c:numCache>
                <c:formatCode>General</c:formatCode>
                <c:ptCount val="9"/>
                <c:pt idx="0">
                  <c:v>9.7437385685780961E-2</c:v>
                </c:pt>
                <c:pt idx="1">
                  <c:v>0.54198876962749609</c:v>
                </c:pt>
                <c:pt idx="2">
                  <c:v>6.8488798463175432E-2</c:v>
                </c:pt>
                <c:pt idx="3">
                  <c:v>3.9189129578332364E-2</c:v>
                </c:pt>
                <c:pt idx="4">
                  <c:v>0.31970338812690424</c:v>
                </c:pt>
                <c:pt idx="5">
                  <c:v>2.7546063338492785E-2</c:v>
                </c:pt>
                <c:pt idx="6">
                  <c:v>3.1264301707816418E-2</c:v>
                </c:pt>
                <c:pt idx="7">
                  <c:v>0.25549323951432651</c:v>
                </c:pt>
                <c:pt idx="8">
                  <c:v>2.1975696943098744E-2</c:v>
                </c:pt>
              </c:numCache>
            </c:numRef>
          </c:val>
          <c:extLst>
            <c:ext xmlns:c16="http://schemas.microsoft.com/office/drawing/2014/chart" uri="{C3380CC4-5D6E-409C-BE32-E72D297353CC}">
              <c16:uniqueId val="{00000006-D771-4493-808D-8C29A12DA78C}"/>
            </c:ext>
          </c:extLst>
        </c:ser>
        <c:ser>
          <c:idx val="7"/>
          <c:order val="7"/>
          <c:tx>
            <c:strRef>
              <c:f>'Radar Plot Analysis'!$I$39</c:f>
              <c:strCache>
                <c:ptCount val="1"/>
                <c:pt idx="0">
                  <c:v>Finland : 1.0</c:v>
                </c:pt>
              </c:strCache>
            </c:strRef>
          </c:tx>
          <c:spPr>
            <a:ln w="28575" cap="rnd">
              <a:solidFill>
                <a:srgbClr val="9933FF"/>
              </a:solidFill>
              <a:prstDash val="dash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Analysis'!$J$39:$R$39</c:f>
              <c:numCache>
                <c:formatCode>General</c:formatCode>
                <c:ptCount val="9"/>
                <c:pt idx="0">
                  <c:v>0.22491694575955853</c:v>
                </c:pt>
                <c:pt idx="1">
                  <c:v>1</c:v>
                </c:pt>
                <c:pt idx="2">
                  <c:v>0.24495575295940744</c:v>
                </c:pt>
                <c:pt idx="3">
                  <c:v>0.15335757088210578</c:v>
                </c:pt>
                <c:pt idx="4">
                  <c:v>1</c:v>
                </c:pt>
                <c:pt idx="5">
                  <c:v>0.16702084905425782</c:v>
                </c:pt>
                <c:pt idx="6">
                  <c:v>0.15294419208579016</c:v>
                </c:pt>
                <c:pt idx="7">
                  <c:v>0.99902608366378831</c:v>
                </c:pt>
                <c:pt idx="8">
                  <c:v>0.16657064058300641</c:v>
                </c:pt>
              </c:numCache>
            </c:numRef>
          </c:val>
          <c:extLst>
            <c:ext xmlns:c16="http://schemas.microsoft.com/office/drawing/2014/chart" uri="{C3380CC4-5D6E-409C-BE32-E72D297353CC}">
              <c16:uniqueId val="{00000007-D771-4493-808D-8C29A12DA78C}"/>
            </c:ext>
          </c:extLst>
        </c:ser>
        <c:ser>
          <c:idx val="8"/>
          <c:order val="8"/>
          <c:tx>
            <c:strRef>
              <c:f>'Radar Plot Analysis'!$I$40</c:f>
              <c:strCache>
                <c:ptCount val="1"/>
                <c:pt idx="0">
                  <c:v>France : 0.50</c:v>
                </c:pt>
              </c:strCache>
            </c:strRef>
          </c:tx>
          <c:spPr>
            <a:ln w="28575" cap="rnd">
              <a:solidFill>
                <a:schemeClr val="accent3">
                  <a:lumMod val="6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Analysis'!$J$40:$R$40</c:f>
              <c:numCache>
                <c:formatCode>General</c:formatCode>
                <c:ptCount val="9"/>
                <c:pt idx="0">
                  <c:v>4.8468275834530825E-2</c:v>
                </c:pt>
                <c:pt idx="1">
                  <c:v>0.33911019526665986</c:v>
                </c:pt>
                <c:pt idx="2">
                  <c:v>6.1954609132174258E-2</c:v>
                </c:pt>
                <c:pt idx="3">
                  <c:v>4.8348507930463053E-2</c:v>
                </c:pt>
                <c:pt idx="4">
                  <c:v>0.49611608585043931</c:v>
                </c:pt>
                <c:pt idx="5">
                  <c:v>6.1801515720961715E-2</c:v>
                </c:pt>
                <c:pt idx="6">
                  <c:v>4.6502848615083518E-2</c:v>
                </c:pt>
                <c:pt idx="7">
                  <c:v>0.47800104760910361</c:v>
                </c:pt>
                <c:pt idx="8">
                  <c:v>5.9442300347469307E-2</c:v>
                </c:pt>
              </c:numCache>
            </c:numRef>
          </c:val>
          <c:extLst>
            <c:ext xmlns:c16="http://schemas.microsoft.com/office/drawing/2014/chart" uri="{C3380CC4-5D6E-409C-BE32-E72D297353CC}">
              <c16:uniqueId val="{00000008-D771-4493-808D-8C29A12DA78C}"/>
            </c:ext>
          </c:extLst>
        </c:ser>
        <c:ser>
          <c:idx val="9"/>
          <c:order val="9"/>
          <c:tx>
            <c:strRef>
              <c:f>'Radar Plot Analysis'!$I$41</c:f>
              <c:strCache>
                <c:ptCount val="1"/>
                <c:pt idx="0">
                  <c:v>Greece : 0.37</c:v>
                </c:pt>
              </c:strCache>
            </c:strRef>
          </c:tx>
          <c:spPr>
            <a:ln w="28575" cap="rnd">
              <a:solidFill>
                <a:schemeClr val="accent4">
                  <a:lumMod val="6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Analysis'!$J$41:$R$41</c:f>
              <c:numCache>
                <c:formatCode>General</c:formatCode>
                <c:ptCount val="9"/>
                <c:pt idx="0">
                  <c:v>7.9458066735208929E-2</c:v>
                </c:pt>
                <c:pt idx="1">
                  <c:v>0.20006342414568851</c:v>
                </c:pt>
                <c:pt idx="2">
                  <c:v>5.6393148743806291E-2</c:v>
                </c:pt>
                <c:pt idx="3">
                  <c:v>8.7116902464900517E-2</c:v>
                </c:pt>
                <c:pt idx="4">
                  <c:v>0.32169853649249541</c:v>
                </c:pt>
                <c:pt idx="5">
                  <c:v>6.1828793987330585E-2</c:v>
                </c:pt>
                <c:pt idx="6">
                  <c:v>5.8712145911287025E-2</c:v>
                </c:pt>
                <c:pt idx="7">
                  <c:v>0.2171819221740075</c:v>
                </c:pt>
                <c:pt idx="8">
                  <c:v>4.1669309529980499E-2</c:v>
                </c:pt>
              </c:numCache>
            </c:numRef>
          </c:val>
          <c:extLst>
            <c:ext xmlns:c16="http://schemas.microsoft.com/office/drawing/2014/chart" uri="{C3380CC4-5D6E-409C-BE32-E72D297353CC}">
              <c16:uniqueId val="{00000009-D771-4493-808D-8C29A12DA78C}"/>
            </c:ext>
          </c:extLst>
        </c:ser>
        <c:ser>
          <c:idx val="10"/>
          <c:order val="10"/>
          <c:tx>
            <c:strRef>
              <c:f>'Radar Plot Analysis'!$I$42</c:f>
              <c:strCache>
                <c:ptCount val="1"/>
                <c:pt idx="0">
                  <c:v>Georgia : 0.35</c:v>
                </c:pt>
              </c:strCache>
            </c:strRef>
          </c:tx>
          <c:spPr>
            <a:ln w="28575" cap="rnd">
              <a:solidFill>
                <a:schemeClr val="accent5">
                  <a:lumMod val="6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Analysis'!$J$42:$R$42</c:f>
              <c:numCache>
                <c:formatCode>General</c:formatCode>
                <c:ptCount val="9"/>
                <c:pt idx="0">
                  <c:v>0.11310969229300857</c:v>
                </c:pt>
                <c:pt idx="1">
                  <c:v>0.15580287601634801</c:v>
                </c:pt>
                <c:pt idx="2">
                  <c:v>0.29226007707221691</c:v>
                </c:pt>
                <c:pt idx="3">
                  <c:v>9.9768476334631206E-2</c:v>
                </c:pt>
                <c:pt idx="4">
                  <c:v>0.20155145864133306</c:v>
                </c:pt>
                <c:pt idx="5">
                  <c:v>0.2577881876594873</c:v>
                </c:pt>
                <c:pt idx="6">
                  <c:v>3.6624698568704095E-2</c:v>
                </c:pt>
                <c:pt idx="7">
                  <c:v>7.4116640102088668E-2</c:v>
                </c:pt>
                <c:pt idx="8">
                  <c:v>9.4633245033571664E-2</c:v>
                </c:pt>
              </c:numCache>
            </c:numRef>
          </c:val>
          <c:extLst>
            <c:ext xmlns:c16="http://schemas.microsoft.com/office/drawing/2014/chart" uri="{C3380CC4-5D6E-409C-BE32-E72D297353CC}">
              <c16:uniqueId val="{0000000A-D771-4493-808D-8C29A12DA78C}"/>
            </c:ext>
          </c:extLst>
        </c:ser>
        <c:ser>
          <c:idx val="11"/>
          <c:order val="11"/>
          <c:tx>
            <c:strRef>
              <c:f>'Radar Plot Analysis'!$I$43</c:f>
              <c:strCache>
                <c:ptCount val="1"/>
                <c:pt idx="0">
                  <c:v>Iceland : 1.0</c:v>
                </c:pt>
              </c:strCache>
            </c:strRef>
          </c:tx>
          <c:spPr>
            <a:ln w="28575" cap="rnd">
              <a:solidFill>
                <a:srgbClr val="66FF99"/>
              </a:solidFill>
              <a:prstDash val="dash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Analysis'!$J$43:$R$43</c:f>
              <c:numCache>
                <c:formatCode>General</c:formatCode>
                <c:ptCount val="9"/>
                <c:pt idx="0">
                  <c:v>1</c:v>
                </c:pt>
                <c:pt idx="1">
                  <c:v>0.66229220440951175</c:v>
                </c:pt>
                <c:pt idx="2">
                  <c:v>1</c:v>
                </c:pt>
                <c:pt idx="3">
                  <c:v>1</c:v>
                </c:pt>
                <c:pt idx="4">
                  <c:v>0.97132954675362404</c:v>
                </c:pt>
                <c:pt idx="5">
                  <c:v>1</c:v>
                </c:pt>
                <c:pt idx="6">
                  <c:v>1</c:v>
                </c:pt>
                <c:pt idx="7">
                  <c:v>0.97300631353635914</c:v>
                </c:pt>
                <c:pt idx="8">
                  <c:v>1</c:v>
                </c:pt>
              </c:numCache>
            </c:numRef>
          </c:val>
          <c:extLst>
            <c:ext xmlns:c16="http://schemas.microsoft.com/office/drawing/2014/chart" uri="{C3380CC4-5D6E-409C-BE32-E72D297353CC}">
              <c16:uniqueId val="{0000000B-D771-4493-808D-8C29A12DA78C}"/>
            </c:ext>
          </c:extLst>
        </c:ser>
        <c:ser>
          <c:idx val="12"/>
          <c:order val="12"/>
          <c:tx>
            <c:strRef>
              <c:f>'Radar Plot Analysis'!$I$44</c:f>
              <c:strCache>
                <c:ptCount val="1"/>
                <c:pt idx="0">
                  <c:v>Israel : 0.28</c:v>
                </c:pt>
              </c:strCache>
            </c:strRef>
          </c:tx>
          <c:spPr>
            <a:ln w="28575" cap="rnd">
              <a:solidFill>
                <a:schemeClr val="accent1">
                  <a:lumMod val="80000"/>
                  <a:lumOff val="2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Analysis'!$J$44:$R$44</c:f>
              <c:numCache>
                <c:formatCode>General</c:formatCode>
                <c:ptCount val="9"/>
                <c:pt idx="0">
                  <c:v>3.3612098709566322E-2</c:v>
                </c:pt>
                <c:pt idx="1">
                  <c:v>0.23422574900007964</c:v>
                </c:pt>
                <c:pt idx="2">
                  <c:v>1.4962974262305159E-2</c:v>
                </c:pt>
                <c:pt idx="3">
                  <c:v>2.723223841066235E-2</c:v>
                </c:pt>
                <c:pt idx="4">
                  <c:v>0.27831672361682075</c:v>
                </c:pt>
                <c:pt idx="5">
                  <c:v>1.2122875336187423E-2</c:v>
                </c:pt>
                <c:pt idx="6">
                  <c:v>2.2040597858914983E-2</c:v>
                </c:pt>
                <c:pt idx="7">
                  <c:v>0.2256463910959309</c:v>
                </c:pt>
                <c:pt idx="8">
                  <c:v>9.8117318212831775E-3</c:v>
                </c:pt>
              </c:numCache>
            </c:numRef>
          </c:val>
          <c:extLst>
            <c:ext xmlns:c16="http://schemas.microsoft.com/office/drawing/2014/chart" uri="{C3380CC4-5D6E-409C-BE32-E72D297353CC}">
              <c16:uniqueId val="{0000000C-D771-4493-808D-8C29A12DA78C}"/>
            </c:ext>
          </c:extLst>
        </c:ser>
        <c:ser>
          <c:idx val="13"/>
          <c:order val="13"/>
          <c:tx>
            <c:strRef>
              <c:f>'Radar Plot Analysis'!$I$45</c:f>
              <c:strCache>
                <c:ptCount val="1"/>
                <c:pt idx="0">
                  <c:v>Italy : 0.37</c:v>
                </c:pt>
              </c:strCache>
            </c:strRef>
          </c:tx>
          <c:spPr>
            <a:ln w="28575" cap="rnd">
              <a:solidFill>
                <a:schemeClr val="accent2">
                  <a:lumMod val="80000"/>
                  <a:lumOff val="2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Analysis'!$J$45:$R$45</c:f>
              <c:numCache>
                <c:formatCode>General</c:formatCode>
                <c:ptCount val="9"/>
                <c:pt idx="0">
                  <c:v>8.7760702949101377E-2</c:v>
                </c:pt>
                <c:pt idx="1">
                  <c:v>0.33078508948835472</c:v>
                </c:pt>
                <c:pt idx="2">
                  <c:v>4.7560334295151545E-2</c:v>
                </c:pt>
                <c:pt idx="3">
                  <c:v>6.0544811047715197E-2</c:v>
                </c:pt>
                <c:pt idx="4">
                  <c:v>0.33468767260114701</c:v>
                </c:pt>
                <c:pt idx="5">
                  <c:v>3.2811171247524779E-2</c:v>
                </c:pt>
                <c:pt idx="6">
                  <c:v>5.5301406652192853E-2</c:v>
                </c:pt>
                <c:pt idx="7">
                  <c:v>0.30623020502248877</c:v>
                </c:pt>
                <c:pt idx="8">
                  <c:v>2.9969602555437829E-2</c:v>
                </c:pt>
              </c:numCache>
            </c:numRef>
          </c:val>
          <c:extLst>
            <c:ext xmlns:c16="http://schemas.microsoft.com/office/drawing/2014/chart" uri="{C3380CC4-5D6E-409C-BE32-E72D297353CC}">
              <c16:uniqueId val="{0000000D-D771-4493-808D-8C29A12DA78C}"/>
            </c:ext>
          </c:extLst>
        </c:ser>
        <c:ser>
          <c:idx val="14"/>
          <c:order val="14"/>
          <c:tx>
            <c:strRef>
              <c:f>'Radar Plot Analysis'!$I$46</c:f>
              <c:strCache>
                <c:ptCount val="1"/>
                <c:pt idx="0">
                  <c:v>Kazakhstan : 0.87</c:v>
                </c:pt>
              </c:strCache>
            </c:strRef>
          </c:tx>
          <c:spPr>
            <a:ln w="28575" cap="rnd">
              <a:solidFill>
                <a:schemeClr val="accent3">
                  <a:lumMod val="80000"/>
                  <a:lumOff val="2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Analysis'!$J$46:$R$46</c:f>
              <c:numCache>
                <c:formatCode>General</c:formatCode>
                <c:ptCount val="9"/>
                <c:pt idx="0">
                  <c:v>0.84161338435477306</c:v>
                </c:pt>
                <c:pt idx="1">
                  <c:v>0.13232932151858745</c:v>
                </c:pt>
                <c:pt idx="2">
                  <c:v>0.3299782030786052</c:v>
                </c:pt>
                <c:pt idx="3">
                  <c:v>0.42827221570843393</c:v>
                </c:pt>
                <c:pt idx="4">
                  <c:v>9.8759824405711821E-2</c:v>
                </c:pt>
                <c:pt idx="5">
                  <c:v>0.16791617005509701</c:v>
                </c:pt>
                <c:pt idx="6">
                  <c:v>0.52549603027987979</c:v>
                </c:pt>
                <c:pt idx="7">
                  <c:v>0.12138888071872399</c:v>
                </c:pt>
                <c:pt idx="8">
                  <c:v>0.20603550159748785</c:v>
                </c:pt>
              </c:numCache>
            </c:numRef>
          </c:val>
          <c:extLst>
            <c:ext xmlns:c16="http://schemas.microsoft.com/office/drawing/2014/chart" uri="{C3380CC4-5D6E-409C-BE32-E72D297353CC}">
              <c16:uniqueId val="{0000000E-D771-4493-808D-8C29A12DA78C}"/>
            </c:ext>
          </c:extLst>
        </c:ser>
        <c:ser>
          <c:idx val="15"/>
          <c:order val="15"/>
          <c:tx>
            <c:strRef>
              <c:f>'Radar Plot Analysis'!$I$47</c:f>
              <c:strCache>
                <c:ptCount val="1"/>
                <c:pt idx="0">
                  <c:v>Lithuania : 1.0</c:v>
                </c:pt>
              </c:strCache>
            </c:strRef>
          </c:tx>
          <c:spPr>
            <a:ln w="28575" cap="rnd">
              <a:solidFill>
                <a:schemeClr val="accent4">
                  <a:lumMod val="80000"/>
                  <a:lumOff val="20000"/>
                </a:schemeClr>
              </a:solidFill>
              <a:prstDash val="sys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Analysis'!$J$47:$R$47</c:f>
              <c:numCache>
                <c:formatCode>General</c:formatCode>
                <c:ptCount val="9"/>
                <c:pt idx="0">
                  <c:v>5.9344258464440497E-2</c:v>
                </c:pt>
                <c:pt idx="1">
                  <c:v>0.59718418109854066</c:v>
                </c:pt>
                <c:pt idx="2">
                  <c:v>0.19273335182422838</c:v>
                </c:pt>
                <c:pt idx="3">
                  <c:v>3.2220804007169167E-2</c:v>
                </c:pt>
                <c:pt idx="4">
                  <c:v>0.47553547110117833</c:v>
                </c:pt>
                <c:pt idx="5">
                  <c:v>0.10464405008100881</c:v>
                </c:pt>
                <c:pt idx="6">
                  <c:v>2.2306749054334885E-2</c:v>
                </c:pt>
                <c:pt idx="7">
                  <c:v>0.32978574881050415</c:v>
                </c:pt>
                <c:pt idx="8">
                  <c:v>7.2446006147672118E-2</c:v>
                </c:pt>
              </c:numCache>
            </c:numRef>
          </c:val>
          <c:extLst>
            <c:ext xmlns:c16="http://schemas.microsoft.com/office/drawing/2014/chart" uri="{C3380CC4-5D6E-409C-BE32-E72D297353CC}">
              <c16:uniqueId val="{0000000F-D771-4493-808D-8C29A12DA78C}"/>
            </c:ext>
          </c:extLst>
        </c:ser>
        <c:ser>
          <c:idx val="16"/>
          <c:order val="16"/>
          <c:tx>
            <c:strRef>
              <c:f>'Radar Plot Analysis'!$I$48</c:f>
              <c:strCache>
                <c:ptCount val="1"/>
                <c:pt idx="0">
                  <c:v>Malta : 0.42</c:v>
                </c:pt>
              </c:strCache>
            </c:strRef>
          </c:tx>
          <c:spPr>
            <a:ln w="28575" cap="rnd">
              <a:solidFill>
                <a:schemeClr val="accent5">
                  <a:lumMod val="80000"/>
                  <a:lumOff val="2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Analysis'!$J$48:$R$48</c:f>
              <c:numCache>
                <c:formatCode>General</c:formatCode>
                <c:ptCount val="9"/>
                <c:pt idx="0">
                  <c:v>1.5932418195990238E-2</c:v>
                </c:pt>
                <c:pt idx="1">
                  <c:v>0.2134391133173133</c:v>
                </c:pt>
                <c:pt idx="2">
                  <c:v>5.4110026197247149E-3</c:v>
                </c:pt>
                <c:pt idx="3">
                  <c:v>2.0392006747459349E-2</c:v>
                </c:pt>
                <c:pt idx="4">
                  <c:v>0.40065376982752637</c:v>
                </c:pt>
                <c:pt idx="5">
                  <c:v>6.9255778108885261E-3</c:v>
                </c:pt>
                <c:pt idx="6">
                  <c:v>1.6684450878801296E-2</c:v>
                </c:pt>
                <c:pt idx="7">
                  <c:v>0.32837511927667606</c:v>
                </c:pt>
                <c:pt idx="8">
                  <c:v>5.6664095998046988E-3</c:v>
                </c:pt>
              </c:numCache>
            </c:numRef>
          </c:val>
          <c:extLst>
            <c:ext xmlns:c16="http://schemas.microsoft.com/office/drawing/2014/chart" uri="{C3380CC4-5D6E-409C-BE32-E72D297353CC}">
              <c16:uniqueId val="{00000010-D771-4493-808D-8C29A12DA78C}"/>
            </c:ext>
          </c:extLst>
        </c:ser>
        <c:ser>
          <c:idx val="17"/>
          <c:order val="17"/>
          <c:tx>
            <c:strRef>
              <c:f>'Radar Plot Analysis'!$I$49</c:f>
              <c:strCache>
                <c:ptCount val="1"/>
                <c:pt idx="0">
                  <c:v>Netherlands : 0.56</c:v>
                </c:pt>
              </c:strCache>
            </c:strRef>
          </c:tx>
          <c:spPr>
            <a:ln w="28575" cap="rnd">
              <a:solidFill>
                <a:schemeClr val="accent6">
                  <a:lumMod val="80000"/>
                  <a:lumOff val="2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Analysis'!$J$49:$R$49</c:f>
              <c:numCache>
                <c:formatCode>General</c:formatCode>
                <c:ptCount val="9"/>
                <c:pt idx="0">
                  <c:v>1.1731991763472492E-2</c:v>
                </c:pt>
                <c:pt idx="1">
                  <c:v>0.34058908417902556</c:v>
                </c:pt>
                <c:pt idx="2">
                  <c:v>9.3848443107845299E-3</c:v>
                </c:pt>
                <c:pt idx="3">
                  <c:v>1.1348916386528393E-2</c:v>
                </c:pt>
                <c:pt idx="4">
                  <c:v>0.48320378582026463</c:v>
                </c:pt>
                <c:pt idx="5">
                  <c:v>9.0784084689943222E-3</c:v>
                </c:pt>
                <c:pt idx="6">
                  <c:v>1.3167644504814658E-2</c:v>
                </c:pt>
                <c:pt idx="7">
                  <c:v>0.56160773877414061</c:v>
                </c:pt>
                <c:pt idx="8">
                  <c:v>1.0533274835923196E-2</c:v>
                </c:pt>
              </c:numCache>
            </c:numRef>
          </c:val>
          <c:extLst>
            <c:ext xmlns:c16="http://schemas.microsoft.com/office/drawing/2014/chart" uri="{C3380CC4-5D6E-409C-BE32-E72D297353CC}">
              <c16:uniqueId val="{00000011-D771-4493-808D-8C29A12DA78C}"/>
            </c:ext>
          </c:extLst>
        </c:ser>
        <c:ser>
          <c:idx val="18"/>
          <c:order val="18"/>
          <c:tx>
            <c:strRef>
              <c:f>'Radar Plot Analysis'!$I$50</c:f>
              <c:strCache>
                <c:ptCount val="1"/>
                <c:pt idx="0">
                  <c:v>Portugal : 0.67</c:v>
                </c:pt>
              </c:strCache>
            </c:strRef>
          </c:tx>
          <c:spPr>
            <a:ln w="28575" cap="rnd">
              <a:solidFill>
                <a:schemeClr val="accent1">
                  <a:lumMod val="8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Analysis'!$J$50:$R$50</c:f>
              <c:numCache>
                <c:formatCode>General</c:formatCode>
                <c:ptCount val="9"/>
                <c:pt idx="0">
                  <c:v>0.11094180843044603</c:v>
                </c:pt>
                <c:pt idx="1">
                  <c:v>0.55538449587279215</c:v>
                </c:pt>
                <c:pt idx="2">
                  <c:v>7.6821867120393614E-2</c:v>
                </c:pt>
                <c:pt idx="3">
                  <c:v>8.0311032232016771E-2</c:v>
                </c:pt>
                <c:pt idx="4">
                  <c:v>0.58964507482189332</c:v>
                </c:pt>
                <c:pt idx="5">
                  <c:v>5.5611527644221184E-2</c:v>
                </c:pt>
                <c:pt idx="6">
                  <c:v>6.162041388356234E-2</c:v>
                </c:pt>
                <c:pt idx="7">
                  <c:v>0.45319920256096891</c:v>
                </c:pt>
                <c:pt idx="8">
                  <c:v>4.2669173274153843E-2</c:v>
                </c:pt>
              </c:numCache>
            </c:numRef>
          </c:val>
          <c:extLst>
            <c:ext xmlns:c16="http://schemas.microsoft.com/office/drawing/2014/chart" uri="{C3380CC4-5D6E-409C-BE32-E72D297353CC}">
              <c16:uniqueId val="{00000012-D771-4493-808D-8C29A12DA78C}"/>
            </c:ext>
          </c:extLst>
        </c:ser>
        <c:ser>
          <c:idx val="19"/>
          <c:order val="19"/>
          <c:tx>
            <c:strRef>
              <c:f>'Radar Plot Analysis'!$I$51</c:f>
              <c:strCache>
                <c:ptCount val="1"/>
                <c:pt idx="0">
                  <c:v>Serbia : 0.57</c:v>
                </c:pt>
              </c:strCache>
            </c:strRef>
          </c:tx>
          <c:spPr>
            <a:ln w="28575" cap="rnd">
              <a:solidFill>
                <a:schemeClr val="accent2">
                  <a:lumMod val="8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Analysis'!$J$51:$R$51</c:f>
              <c:numCache>
                <c:formatCode>General</c:formatCode>
                <c:ptCount val="9"/>
                <c:pt idx="0">
                  <c:v>0.12543862919206231</c:v>
                </c:pt>
                <c:pt idx="1">
                  <c:v>0.23139596659109865</c:v>
                </c:pt>
                <c:pt idx="2">
                  <c:v>0.12536823251255902</c:v>
                </c:pt>
                <c:pt idx="3">
                  <c:v>5.691373755025652E-2</c:v>
                </c:pt>
                <c:pt idx="4">
                  <c:v>0.15397795543191656</c:v>
                </c:pt>
                <c:pt idx="5">
                  <c:v>5.6881797324446773E-2</c:v>
                </c:pt>
                <c:pt idx="6">
                  <c:v>2.9829640358614691E-2</c:v>
                </c:pt>
                <c:pt idx="7">
                  <c:v>8.0842273342580803E-2</c:v>
                </c:pt>
                <c:pt idx="8">
                  <c:v>2.9812899840597644E-2</c:v>
                </c:pt>
              </c:numCache>
            </c:numRef>
          </c:val>
          <c:extLst>
            <c:ext xmlns:c16="http://schemas.microsoft.com/office/drawing/2014/chart" uri="{C3380CC4-5D6E-409C-BE32-E72D297353CC}">
              <c16:uniqueId val="{00000013-D771-4493-808D-8C29A12DA78C}"/>
            </c:ext>
          </c:extLst>
        </c:ser>
        <c:ser>
          <c:idx val="20"/>
          <c:order val="20"/>
          <c:tx>
            <c:strRef>
              <c:f>'Radar Plot Analysis'!$I$52</c:f>
              <c:strCache>
                <c:ptCount val="1"/>
                <c:pt idx="0">
                  <c:v>Slovakia : 0.81</c:v>
                </c:pt>
              </c:strCache>
            </c:strRef>
          </c:tx>
          <c:spPr>
            <a:ln w="28575" cap="rnd">
              <a:solidFill>
                <a:schemeClr val="accent3">
                  <a:lumMod val="8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Analysis'!$J$52:$R$52</c:f>
              <c:numCache>
                <c:formatCode>General</c:formatCode>
                <c:ptCount val="9"/>
                <c:pt idx="0">
                  <c:v>9.8702878390242291E-2</c:v>
                </c:pt>
                <c:pt idx="1">
                  <c:v>0.40813706873306727</c:v>
                </c:pt>
                <c:pt idx="2">
                  <c:v>6.6798828983154368E-2</c:v>
                </c:pt>
                <c:pt idx="3">
                  <c:v>4.6448256601696505E-2</c:v>
                </c:pt>
                <c:pt idx="4">
                  <c:v>0.28168427127251844</c:v>
                </c:pt>
                <c:pt idx="5">
                  <c:v>3.1434636962007025E-2</c:v>
                </c:pt>
                <c:pt idx="6">
                  <c:v>3.3516865689322495E-2</c:v>
                </c:pt>
                <c:pt idx="7">
                  <c:v>0.2036130631020307</c:v>
                </c:pt>
                <c:pt idx="8">
                  <c:v>2.2683101199749228E-2</c:v>
                </c:pt>
              </c:numCache>
            </c:numRef>
          </c:val>
          <c:extLst>
            <c:ext xmlns:c16="http://schemas.microsoft.com/office/drawing/2014/chart" uri="{C3380CC4-5D6E-409C-BE32-E72D297353CC}">
              <c16:uniqueId val="{00000014-D771-4493-808D-8C29A12DA78C}"/>
            </c:ext>
          </c:extLst>
        </c:ser>
        <c:ser>
          <c:idx val="21"/>
          <c:order val="21"/>
          <c:tx>
            <c:strRef>
              <c:f>'Radar Plot Analysis'!$I$53</c:f>
              <c:strCache>
                <c:ptCount val="1"/>
                <c:pt idx="0">
                  <c:v>Spain : 0.52</c:v>
                </c:pt>
              </c:strCache>
            </c:strRef>
          </c:tx>
          <c:spPr>
            <a:ln w="28575" cap="rnd">
              <a:solidFill>
                <a:schemeClr val="accent4">
                  <a:lumMod val="8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Analysis'!$J$53:$R$53</c:f>
              <c:numCache>
                <c:formatCode>General</c:formatCode>
                <c:ptCount val="9"/>
                <c:pt idx="0">
                  <c:v>8.9576698446365732E-2</c:v>
                </c:pt>
                <c:pt idx="1">
                  <c:v>0.4033043002501116</c:v>
                </c:pt>
                <c:pt idx="2">
                  <c:v>7.6690020751057991E-2</c:v>
                </c:pt>
                <c:pt idx="3">
                  <c:v>7.4317665929580445E-2</c:v>
                </c:pt>
                <c:pt idx="4">
                  <c:v>0.49073475768146768</c:v>
                </c:pt>
                <c:pt idx="5">
                  <c:v>6.3626182267950665E-2</c:v>
                </c:pt>
                <c:pt idx="6">
                  <c:v>6.8646215214963044E-2</c:v>
                </c:pt>
                <c:pt idx="7">
                  <c:v>0.45406749543316022</c:v>
                </c:pt>
                <c:pt idx="8">
                  <c:v>5.8770637460692166E-2</c:v>
                </c:pt>
              </c:numCache>
            </c:numRef>
          </c:val>
          <c:extLst>
            <c:ext xmlns:c16="http://schemas.microsoft.com/office/drawing/2014/chart" uri="{C3380CC4-5D6E-409C-BE32-E72D297353CC}">
              <c16:uniqueId val="{00000015-D771-4493-808D-8C29A12DA78C}"/>
            </c:ext>
          </c:extLst>
        </c:ser>
        <c:ser>
          <c:idx val="22"/>
          <c:order val="22"/>
          <c:tx>
            <c:strRef>
              <c:f>'Radar Plot Analysis'!$I$54</c:f>
              <c:strCache>
                <c:ptCount val="1"/>
                <c:pt idx="0">
                  <c:v>United Kingdom : 1.0</c:v>
                </c:pt>
              </c:strCache>
            </c:strRef>
          </c:tx>
          <c:spPr>
            <a:ln w="28575" cap="rnd">
              <a:solidFill>
                <a:schemeClr val="accent5">
                  <a:lumMod val="80000"/>
                </a:schemeClr>
              </a:solidFill>
              <a:prstDash val="sysDot"/>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Analysis'!$J$54:$R$54</c:f>
              <c:numCache>
                <c:formatCode>General</c:formatCode>
                <c:ptCount val="9"/>
                <c:pt idx="0">
                  <c:v>2.4692715885599858E-2</c:v>
                </c:pt>
                <c:pt idx="1">
                  <c:v>0.33268113873381017</c:v>
                </c:pt>
                <c:pt idx="2">
                  <c:v>1.903732413281228E-2</c:v>
                </c:pt>
                <c:pt idx="3">
                  <c:v>2.9218959598320098E-2</c:v>
                </c:pt>
                <c:pt idx="4">
                  <c:v>0.57735246498532344</c:v>
                </c:pt>
                <c:pt idx="5">
                  <c:v>2.252691875911296E-2</c:v>
                </c:pt>
                <c:pt idx="6">
                  <c:v>2.6615381844966934E-2</c:v>
                </c:pt>
                <c:pt idx="7">
                  <c:v>0.52681488377193031</c:v>
                </c:pt>
                <c:pt idx="8">
                  <c:v>2.0519640425486308E-2</c:v>
                </c:pt>
              </c:numCache>
            </c:numRef>
          </c:val>
          <c:extLst>
            <c:ext xmlns:c16="http://schemas.microsoft.com/office/drawing/2014/chart" uri="{C3380CC4-5D6E-409C-BE32-E72D297353CC}">
              <c16:uniqueId val="{00000016-D771-4493-808D-8C29A12DA78C}"/>
            </c:ext>
          </c:extLst>
        </c:ser>
        <c:ser>
          <c:idx val="23"/>
          <c:order val="23"/>
          <c:tx>
            <c:strRef>
              <c:f>'Radar Plot Analysis'!$I$55</c:f>
              <c:strCache>
                <c:ptCount val="1"/>
                <c:pt idx="0">
                  <c:v>United States : 1.0</c:v>
                </c:pt>
              </c:strCache>
            </c:strRef>
          </c:tx>
          <c:spPr>
            <a:ln w="28575" cap="rnd">
              <a:solidFill>
                <a:srgbClr val="FF99FF"/>
              </a:solidFill>
              <a:prstDash val="dash"/>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Analysis'!$J$55:$R$55</c:f>
              <c:numCache>
                <c:formatCode>General</c:formatCode>
                <c:ptCount val="9"/>
                <c:pt idx="0">
                  <c:v>0.15195035425235506</c:v>
                </c:pt>
                <c:pt idx="1">
                  <c:v>0.55876293990706827</c:v>
                </c:pt>
                <c:pt idx="2">
                  <c:v>8.008728182538162E-2</c:v>
                </c:pt>
                <c:pt idx="3">
                  <c:v>0.14116237174022397</c:v>
                </c:pt>
                <c:pt idx="4">
                  <c:v>0.76131043029577838</c:v>
                </c:pt>
                <c:pt idx="5">
                  <c:v>7.4401344467568964E-2</c:v>
                </c:pt>
                <c:pt idx="6">
                  <c:v>0.185100720012537</c:v>
                </c:pt>
                <c:pt idx="7">
                  <c:v>1</c:v>
                </c:pt>
                <c:pt idx="8">
                  <c:v>9.7559585185997333E-2</c:v>
                </c:pt>
              </c:numCache>
            </c:numRef>
          </c:val>
          <c:extLst>
            <c:ext xmlns:c16="http://schemas.microsoft.com/office/drawing/2014/chart" uri="{C3380CC4-5D6E-409C-BE32-E72D297353CC}">
              <c16:uniqueId val="{00000017-D771-4493-808D-8C29A12DA78C}"/>
            </c:ext>
          </c:extLst>
        </c:ser>
        <c:ser>
          <c:idx val="24"/>
          <c:order val="24"/>
          <c:tx>
            <c:strRef>
              <c:f>'Radar Plot Analysis'!$I$56</c:f>
              <c:strCache>
                <c:ptCount val="1"/>
                <c:pt idx="0">
                  <c:v>Uzbekistan : 0.47</c:v>
                </c:pt>
              </c:strCache>
            </c:strRef>
          </c:tx>
          <c:spPr>
            <a:ln w="28575" cap="rnd">
              <a:solidFill>
                <a:schemeClr val="accent1">
                  <a:lumMod val="60000"/>
                  <a:lumOff val="40000"/>
                </a:schemeClr>
              </a:solidFill>
              <a:round/>
            </a:ln>
            <a:effectLst/>
          </c:spPr>
          <c:marker>
            <c:symbol val="none"/>
          </c:marker>
          <c:cat>
            <c:strRef>
              <c:f>'Radar Plot Analysis'!$J$31:$R$31</c:f>
              <c:strCache>
                <c:ptCount val="9"/>
                <c:pt idx="0">
                  <c:v>MVA/ N2O</c:v>
                </c:pt>
                <c:pt idx="1">
                  <c:v>MVA/PM2.5</c:v>
                </c:pt>
                <c:pt idx="2">
                  <c:v>MVA/CO2</c:v>
                </c:pt>
                <c:pt idx="3">
                  <c:v>AHDI/N2O</c:v>
                </c:pt>
                <c:pt idx="4">
                  <c:v>AHDI/PM2.5</c:v>
                </c:pt>
                <c:pt idx="5">
                  <c:v>AHDI/CO2</c:v>
                </c:pt>
                <c:pt idx="6">
                  <c:v>GDP per capita/N2O</c:v>
                </c:pt>
                <c:pt idx="7">
                  <c:v>GDP per capita/PM2.5</c:v>
                </c:pt>
                <c:pt idx="8">
                  <c:v>GDP per capita/CO2</c:v>
                </c:pt>
              </c:strCache>
            </c:strRef>
          </c:cat>
          <c:val>
            <c:numRef>
              <c:f>'Radar Plot Analysis'!$J$56:$R$56</c:f>
              <c:numCache>
                <c:formatCode>General</c:formatCode>
                <c:ptCount val="9"/>
                <c:pt idx="0">
                  <c:v>0.15484586288587368</c:v>
                </c:pt>
                <c:pt idx="1">
                  <c:v>0.10490913570795907</c:v>
                </c:pt>
                <c:pt idx="2">
                  <c:v>0.13995306362652535</c:v>
                </c:pt>
                <c:pt idx="3">
                  <c:v>4.6503120546582365E-2</c:v>
                </c:pt>
                <c:pt idx="4">
                  <c:v>4.6207530185092029E-2</c:v>
                </c:pt>
                <c:pt idx="5">
                  <c:v>4.2030533250246464E-2</c:v>
                </c:pt>
                <c:pt idx="6">
                  <c:v>3.0606027207353021E-2</c:v>
                </c:pt>
                <c:pt idx="7">
                  <c:v>3.0463982532526909E-2</c:v>
                </c:pt>
                <c:pt idx="8">
                  <c:v>2.7662394030267698E-2</c:v>
                </c:pt>
              </c:numCache>
            </c:numRef>
          </c:val>
          <c:extLst>
            <c:ext xmlns:c16="http://schemas.microsoft.com/office/drawing/2014/chart" uri="{C3380CC4-5D6E-409C-BE32-E72D297353CC}">
              <c16:uniqueId val="{00000018-D771-4493-808D-8C29A12DA78C}"/>
            </c:ext>
          </c:extLst>
        </c:ser>
        <c:dLbls>
          <c:showLegendKey val="0"/>
          <c:showVal val="0"/>
          <c:showCatName val="0"/>
          <c:showSerName val="0"/>
          <c:showPercent val="0"/>
          <c:showBubbleSize val="0"/>
        </c:dLbls>
        <c:axId val="1053120304"/>
        <c:axId val="1053120784"/>
      </c:radarChart>
      <c:catAx>
        <c:axId val="105312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crossAx val="1053120784"/>
        <c:crosses val="autoZero"/>
        <c:auto val="1"/>
        <c:lblAlgn val="ctr"/>
        <c:lblOffset val="100"/>
        <c:noMultiLvlLbl val="0"/>
      </c:catAx>
      <c:valAx>
        <c:axId val="10531207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31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177066</xdr:colOff>
      <xdr:row>65</xdr:row>
      <xdr:rowOff>166383</xdr:rowOff>
    </xdr:from>
    <xdr:to>
      <xdr:col>21</xdr:col>
      <xdr:colOff>359085</xdr:colOff>
      <xdr:row>124</xdr:row>
      <xdr:rowOff>168081</xdr:rowOff>
    </xdr:to>
    <xdr:graphicFrame macro="">
      <xdr:nvGraphicFramePr>
        <xdr:cNvPr id="26" name="Chart 1">
          <a:extLst>
            <a:ext uri="{FF2B5EF4-FFF2-40B4-BE49-F238E27FC236}">
              <a16:creationId xmlns:a16="http://schemas.microsoft.com/office/drawing/2014/main" id="{769E81D1-0DAC-18BC-B193-6F892814B6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M10" totalsRowShown="0" headerRowDxfId="50" dataDxfId="49">
  <autoFilter ref="A1:M10" xr:uid="{00000000-0009-0000-0100-000001000000}"/>
  <tableColumns count="13">
    <tableColumn id="13" xr3:uid="{00000000-0010-0000-0000-00000D000000}" name="INPUT/ OUTPUT" dataDxfId="48"/>
    <tableColumn id="1" xr3:uid="{00000000-0010-0000-0000-000001000000}" name="Code" dataDxfId="47"/>
    <tableColumn id="2" xr3:uid="{00000000-0010-0000-0000-000002000000}" name="License Type" dataDxfId="46"/>
    <tableColumn id="3" xr3:uid="{00000000-0010-0000-0000-000003000000}" name="Indicator Name" dataDxfId="45"/>
    <tableColumn id="4" xr3:uid="{00000000-0010-0000-0000-000004000000}" name="Short definition" dataDxfId="44"/>
    <tableColumn id="5" xr3:uid="{00000000-0010-0000-0000-000005000000}" name="Long definition" dataDxfId="43"/>
    <tableColumn id="6" xr3:uid="{00000000-0010-0000-0000-000006000000}" name="Source" dataDxfId="42"/>
    <tableColumn id="7" xr3:uid="{00000000-0010-0000-0000-000007000000}" name="Topic" dataDxfId="41"/>
    <tableColumn id="8" xr3:uid="{00000000-0010-0000-0000-000008000000}" name="Dataset" dataDxfId="40"/>
    <tableColumn id="9" xr3:uid="{00000000-0010-0000-0000-000009000000}" name="Unit of measure" dataDxfId="39"/>
    <tableColumn id="10" xr3:uid="{00000000-0010-0000-0000-00000A000000}" name="Periodicity" dataDxfId="38"/>
    <tableColumn id="11" xr3:uid="{00000000-0010-0000-0000-00000B000000}" name="Aggregation method" dataDxfId="37"/>
    <tableColumn id="12" xr3:uid="{00000000-0010-0000-0000-00000C000000}" name="License URL" dataDxfId="36"/>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D3130-DDD7-4A30-98D4-A9EE4C2ADC70}">
  <dimension ref="A1:G26"/>
  <sheetViews>
    <sheetView workbookViewId="0">
      <selection activeCell="B6" sqref="B6"/>
    </sheetView>
  </sheetViews>
  <sheetFormatPr defaultColWidth="9.15234375" defaultRowHeight="14.6" x14ac:dyDescent="0.4"/>
  <cols>
    <col min="2" max="2" width="29.3046875" bestFit="1" customWidth="1"/>
    <col min="3" max="3" width="23.3828125" bestFit="1" customWidth="1"/>
    <col min="4" max="4" width="38.3046875" bestFit="1" customWidth="1"/>
    <col min="5" max="5" width="9.15234375" bestFit="1" customWidth="1"/>
    <col min="6" max="6" width="13.15234375" customWidth="1"/>
    <col min="7" max="7" width="18.69140625" customWidth="1"/>
  </cols>
  <sheetData>
    <row r="1" spans="1:7" x14ac:dyDescent="0.4">
      <c r="A1" s="14" t="s">
        <v>0</v>
      </c>
      <c r="B1" s="14" t="s">
        <v>1</v>
      </c>
      <c r="C1" s="14" t="s">
        <v>2</v>
      </c>
      <c r="D1" s="14" t="s">
        <v>3</v>
      </c>
      <c r="E1" s="14" t="s">
        <v>4</v>
      </c>
      <c r="F1" s="14" t="s">
        <v>5</v>
      </c>
      <c r="G1" s="14" t="s">
        <v>6</v>
      </c>
    </row>
    <row r="2" spans="1:7" x14ac:dyDescent="0.4">
      <c r="A2" s="17" t="s">
        <v>7</v>
      </c>
      <c r="B2">
        <f>1201555.2/28748</f>
        <v>41.796131904828158</v>
      </c>
      <c r="C2">
        <v>18.982710000000001</v>
      </c>
      <c r="D2">
        <f>9691539/28748</f>
        <v>337.12046055377766</v>
      </c>
      <c r="E2" s="17">
        <v>5.67</v>
      </c>
      <c r="F2" s="17">
        <v>0.49429400000000001</v>
      </c>
      <c r="G2">
        <v>10192.529</v>
      </c>
    </row>
    <row r="3" spans="1:7" x14ac:dyDescent="0.4">
      <c r="A3" s="17" t="s">
        <v>11</v>
      </c>
      <c r="B3">
        <f>28768802/207560</f>
        <v>138.60475043360955</v>
      </c>
      <c r="C3">
        <v>16.49174</v>
      </c>
      <c r="D3">
        <f>111591896/207560</f>
        <v>537.63680863364812</v>
      </c>
      <c r="E3" s="17">
        <v>20.64</v>
      </c>
      <c r="F3" s="17">
        <v>0.38143300000000002</v>
      </c>
      <c r="G3">
        <v>18122.863000000001</v>
      </c>
    </row>
    <row r="4" spans="1:7" x14ac:dyDescent="0.4">
      <c r="A4" s="17" t="s">
        <v>12</v>
      </c>
      <c r="B4">
        <f>9323679/30688</f>
        <v>303.82165667361835</v>
      </c>
      <c r="C4">
        <v>13.27885</v>
      </c>
      <c r="D4">
        <f>126559150/30688</f>
        <v>4124.0598931178311</v>
      </c>
      <c r="E4" s="17">
        <v>12.69</v>
      </c>
      <c r="F4" s="5">
        <v>0.71222556000000004</v>
      </c>
      <c r="G4">
        <v>39160.324000000001</v>
      </c>
    </row>
    <row r="5" spans="1:7" x14ac:dyDescent="0.4">
      <c r="A5" s="17" t="s">
        <v>13</v>
      </c>
      <c r="B5">
        <f>3847866/110994</f>
        <v>34.66733336937132</v>
      </c>
      <c r="C5">
        <v>20.41206</v>
      </c>
      <c r="D5">
        <f>59439004/110994</f>
        <v>535.51546930464713</v>
      </c>
      <c r="E5" s="17">
        <v>13.63</v>
      </c>
      <c r="F5" s="17">
        <v>0.54433600000000004</v>
      </c>
      <c r="G5">
        <v>16186.409</v>
      </c>
    </row>
    <row r="6" spans="1:7" x14ac:dyDescent="0.4">
      <c r="A6" s="17" t="s">
        <v>14</v>
      </c>
      <c r="B6">
        <f>42385420/9985000</f>
        <v>4.2449093640460687</v>
      </c>
      <c r="C6">
        <v>7.1536400000000002</v>
      </c>
      <c r="D6">
        <f>857682560/9985000</f>
        <v>85.897101652478725</v>
      </c>
      <c r="E6" s="17">
        <v>9.98</v>
      </c>
      <c r="F6" s="17">
        <v>0.78090999999999999</v>
      </c>
      <c r="G6">
        <v>43761.527000000002</v>
      </c>
    </row>
    <row r="7" spans="1:7" x14ac:dyDescent="0.4">
      <c r="A7" s="17" t="s">
        <v>16</v>
      </c>
      <c r="B7">
        <f>342181.62/9250</f>
        <v>36.992607567567568</v>
      </c>
      <c r="C7">
        <v>15.126860000000001</v>
      </c>
      <c r="D7">
        <f>7644012/9250</f>
        <v>826.37967567567568</v>
      </c>
      <c r="E7" s="17">
        <v>4.26</v>
      </c>
      <c r="F7" s="17">
        <v>0.68421100000000001</v>
      </c>
      <c r="G7">
        <v>25081.504000000001</v>
      </c>
    </row>
    <row r="8" spans="1:7" x14ac:dyDescent="0.4">
      <c r="A8" s="17" t="s">
        <v>17</v>
      </c>
      <c r="B8">
        <f>6440591.5/78866</f>
        <v>81.664995054903258</v>
      </c>
      <c r="C8">
        <v>17.515899999999998</v>
      </c>
      <c r="D8">
        <f>119829860/78866</f>
        <v>1519.4108995004185</v>
      </c>
      <c r="E8" s="17">
        <v>23.92</v>
      </c>
      <c r="F8" s="17">
        <v>0.68402399999999997</v>
      </c>
      <c r="G8">
        <v>28437.603999999999</v>
      </c>
    </row>
    <row r="9" spans="1:7" x14ac:dyDescent="0.4">
      <c r="A9" s="17" t="s">
        <v>20</v>
      </c>
      <c r="B9">
        <f>7348762/338462</f>
        <v>21.712221756061243</v>
      </c>
      <c r="C9">
        <v>5.8262299999999998</v>
      </c>
      <c r="D9">
        <f>88243340/338462</f>
        <v>260.7186035655406</v>
      </c>
      <c r="E9" s="17">
        <v>14.68</v>
      </c>
      <c r="F9" s="17">
        <v>0.71167100000000005</v>
      </c>
      <c r="G9">
        <v>36986.699999999997</v>
      </c>
    </row>
    <row r="10" spans="1:7" x14ac:dyDescent="0.4">
      <c r="A10" s="17" t="s">
        <v>21</v>
      </c>
      <c r="B10">
        <f>39493550/551695</f>
        <v>71.585840002175118</v>
      </c>
      <c r="C10">
        <v>12.20689</v>
      </c>
      <c r="D10">
        <f>404057660/551695</f>
        <v>732.39318826525528</v>
      </c>
      <c r="E10" s="17">
        <v>10.43</v>
      </c>
      <c r="F10" s="5">
        <v>0.73974150000000005</v>
      </c>
      <c r="G10">
        <v>37077.89</v>
      </c>
    </row>
    <row r="11" spans="1:7" x14ac:dyDescent="0.4">
      <c r="A11" s="17" t="s">
        <v>24</v>
      </c>
      <c r="B11">
        <f>4579830/131957</f>
        <v>34.706987882416243</v>
      </c>
      <c r="C11">
        <v>16.445550000000001</v>
      </c>
      <c r="D11">
        <f>84390630/131957</f>
        <v>639.53128670703336</v>
      </c>
      <c r="E11" s="17">
        <v>8.2899999999999991</v>
      </c>
      <c r="F11" s="17">
        <v>0.64623299999999995</v>
      </c>
      <c r="G11">
        <v>22696.203000000001</v>
      </c>
    </row>
    <row r="12" spans="1:7" x14ac:dyDescent="0.4">
      <c r="A12" s="17" t="s">
        <v>22</v>
      </c>
      <c r="B12">
        <f>1816214.2/69700</f>
        <v>26.057592539454806</v>
      </c>
      <c r="C12">
        <v>22.569389999999999</v>
      </c>
      <c r="D12">
        <f>9192436/69700</f>
        <v>131.88573888091821</v>
      </c>
      <c r="E12" s="17">
        <v>8.86</v>
      </c>
      <c r="F12" s="17">
        <v>0.55564499999999994</v>
      </c>
      <c r="G12">
        <v>10629.593999999999</v>
      </c>
    </row>
    <row r="13" spans="1:7" x14ac:dyDescent="0.4">
      <c r="A13" s="17" t="s">
        <v>26</v>
      </c>
      <c r="B13">
        <f>367652.34/103000</f>
        <v>3.5694401941747573</v>
      </c>
      <c r="C13">
        <v>6.4300100000000002</v>
      </c>
      <c r="D13">
        <f>4808067.5/103000</f>
        <v>46.680266990291265</v>
      </c>
      <c r="E13" s="17">
        <v>10.73</v>
      </c>
      <c r="F13" s="17">
        <v>0.76290400000000003</v>
      </c>
      <c r="G13">
        <v>39756.527000000002</v>
      </c>
    </row>
    <row r="14" spans="1:7" x14ac:dyDescent="0.4">
      <c r="A14" s="17" t="s">
        <v>28</v>
      </c>
      <c r="B14">
        <f>2627072.8/20770</f>
        <v>126.48400577756378</v>
      </c>
      <c r="C14">
        <v>21.654979999999998</v>
      </c>
      <c r="D14">
        <f>77176136/20770</f>
        <v>3715.7504092441022</v>
      </c>
      <c r="E14" s="17">
        <v>12.78</v>
      </c>
      <c r="F14" s="17">
        <v>0.73618799999999995</v>
      </c>
      <c r="G14">
        <v>31050.407999999999</v>
      </c>
    </row>
    <row r="15" spans="1:7" x14ac:dyDescent="0.4">
      <c r="A15" s="17" t="s">
        <v>29</v>
      </c>
      <c r="B15">
        <f>16488255/302073</f>
        <v>54.583676793357895</v>
      </c>
      <c r="C15">
        <v>17.27739</v>
      </c>
      <c r="D15">
        <f>397890080/302073</f>
        <v>1317.1984255461427</v>
      </c>
      <c r="E15" s="17">
        <v>14.4</v>
      </c>
      <c r="F15" s="17">
        <v>0.70633299999999999</v>
      </c>
      <c r="G15">
        <v>33620.741999999998</v>
      </c>
    </row>
    <row r="16" spans="1:7" x14ac:dyDescent="0.4">
      <c r="A16" s="17" t="s">
        <v>30</v>
      </c>
      <c r="B16">
        <f>11072543/2725000</f>
        <v>4.0633185321100918</v>
      </c>
      <c r="C16">
        <v>30.831779999999998</v>
      </c>
      <c r="D16">
        <f>369324380/2725000</f>
        <v>135.53188256880733</v>
      </c>
      <c r="E16" s="17">
        <v>10.28</v>
      </c>
      <c r="F16" s="17">
        <v>0.37193799999999999</v>
      </c>
      <c r="G16">
        <v>23782.562000000002</v>
      </c>
    </row>
    <row r="17" spans="1:7" x14ac:dyDescent="0.4">
      <c r="A17" s="17" t="s">
        <v>33</v>
      </c>
      <c r="B17">
        <f>6299640/65300</f>
        <v>96.472281776416537</v>
      </c>
      <c r="C17">
        <v>11.437580000000001</v>
      </c>
      <c r="D17">
        <f>25367098/65300</f>
        <v>388.47010719754979</v>
      </c>
      <c r="E17" s="17">
        <v>17.21</v>
      </c>
      <c r="F17" s="17">
        <v>0.66436799999999996</v>
      </c>
      <c r="G17">
        <v>23968.848000000002</v>
      </c>
    </row>
    <row r="18" spans="1:7" x14ac:dyDescent="0.4">
      <c r="A18" s="17" t="s">
        <v>34</v>
      </c>
      <c r="B18">
        <f>49154.36/316</f>
        <v>155.55177215189875</v>
      </c>
      <c r="C18">
        <v>13.853</v>
      </c>
      <c r="D18">
        <f>1892776/316</f>
        <v>5989.7974683544307</v>
      </c>
      <c r="E18" s="17">
        <v>7.45</v>
      </c>
      <c r="F18" s="17">
        <v>0.67796100000000004</v>
      </c>
      <c r="G18">
        <v>28906.48</v>
      </c>
    </row>
    <row r="19" spans="1:7" x14ac:dyDescent="0.4">
      <c r="A19" s="17" t="s">
        <v>35</v>
      </c>
      <c r="B19">
        <f>12815863/41850</f>
        <v>306.23328554360813</v>
      </c>
      <c r="C19">
        <v>12.585039999999999</v>
      </c>
      <c r="D19">
        <f>209520130/41850</f>
        <v>5006.4547192353648</v>
      </c>
      <c r="E19" s="17">
        <v>10.8</v>
      </c>
      <c r="F19" s="17">
        <v>0.74280800000000002</v>
      </c>
      <c r="G19">
        <v>44912.663999999997</v>
      </c>
    </row>
    <row r="20" spans="1:7" x14ac:dyDescent="0.4">
      <c r="A20" s="17" t="s">
        <v>38</v>
      </c>
      <c r="B20">
        <f>3354506.2/92152</f>
        <v>36.401881673756407</v>
      </c>
      <c r="C20">
        <v>8.6753400000000003</v>
      </c>
      <c r="D20">
        <f>63353732/92152</f>
        <v>687.49166594322423</v>
      </c>
      <c r="E20" s="17">
        <v>12.14</v>
      </c>
      <c r="F20" s="17">
        <v>0.62483999999999995</v>
      </c>
      <c r="G20">
        <v>24983.701000000001</v>
      </c>
    </row>
    <row r="21" spans="1:7" x14ac:dyDescent="0.4">
      <c r="A21" s="17" t="s">
        <v>40</v>
      </c>
      <c r="B21">
        <f>3466474/88499</f>
        <v>39.169640334919038</v>
      </c>
      <c r="C21">
        <v>25.332979999999999</v>
      </c>
      <c r="D21">
        <f>45359156/88499</f>
        <v>512.53862755511364</v>
      </c>
      <c r="E21" s="17">
        <v>14.77</v>
      </c>
      <c r="F21" s="17">
        <v>0.47647099999999998</v>
      </c>
      <c r="G21">
        <v>13013.853999999999</v>
      </c>
    </row>
    <row r="22" spans="1:7" x14ac:dyDescent="0.4">
      <c r="A22" s="17" t="s">
        <v>41</v>
      </c>
      <c r="B22">
        <f>3237510.5/49035</f>
        <v>66.024482512491076</v>
      </c>
      <c r="C22">
        <v>19.049779999999998</v>
      </c>
      <c r="D22">
        <f>62561244/49035</f>
        <v>1275.8487610890181</v>
      </c>
      <c r="E22" s="17">
        <v>19.59</v>
      </c>
      <c r="F22" s="17">
        <v>0.65545699999999996</v>
      </c>
      <c r="G22">
        <v>24647.719000000001</v>
      </c>
    </row>
    <row r="23" spans="1:7" x14ac:dyDescent="0.4">
      <c r="A23" s="17" t="s">
        <v>43</v>
      </c>
      <c r="B23">
        <f>21216588/506030</f>
        <v>41.927529988340609</v>
      </c>
      <c r="C23">
        <v>11.11022</v>
      </c>
      <c r="D23">
        <f>324089500/506030</f>
        <v>640.45511135703418</v>
      </c>
      <c r="E23" s="17">
        <v>11.29</v>
      </c>
      <c r="F23" s="5">
        <v>0.66597989999999996</v>
      </c>
      <c r="G23" s="4">
        <v>32057.098000000002</v>
      </c>
    </row>
    <row r="24" spans="1:7" x14ac:dyDescent="0.4">
      <c r="A24" s="17" t="s">
        <v>48</v>
      </c>
      <c r="B24">
        <f>30488942/243610</f>
        <v>125.15472271253233</v>
      </c>
      <c r="C24">
        <v>11.082789999999999</v>
      </c>
      <c r="D24">
        <f>517176200/243610</f>
        <v>2122.9678584622961</v>
      </c>
      <c r="E24" s="17">
        <v>9.2899999999999991</v>
      </c>
      <c r="F24" s="17">
        <v>0.78159500000000004</v>
      </c>
      <c r="G24">
        <v>37101.226999999999</v>
      </c>
    </row>
    <row r="25" spans="1:7" x14ac:dyDescent="0.4">
      <c r="A25" s="17" t="s">
        <v>49</v>
      </c>
      <c r="B25">
        <f>251828430/9831510</f>
        <v>25.614420368793805</v>
      </c>
      <c r="C25">
        <v>8.3103599999999993</v>
      </c>
      <c r="D25">
        <f>6248505300/9831510</f>
        <v>635.55906468080696</v>
      </c>
      <c r="E25" s="17">
        <v>11.7</v>
      </c>
      <c r="F25" s="6">
        <v>0.77281093999999995</v>
      </c>
      <c r="G25">
        <v>52808.152000000002</v>
      </c>
    </row>
    <row r="26" spans="1:7" x14ac:dyDescent="0.4">
      <c r="A26" s="17" t="s">
        <v>50</v>
      </c>
      <c r="B26">
        <f>12312490/447400</f>
        <v>27.52009387572642</v>
      </c>
      <c r="C26">
        <v>48.461559999999999</v>
      </c>
      <c r="D26">
        <f>178154300/447400</f>
        <v>398.19915064818952</v>
      </c>
      <c r="E26" s="17">
        <v>12.81</v>
      </c>
      <c r="F26" s="17">
        <v>0.27352799999999999</v>
      </c>
      <c r="G26">
        <v>9381.3469999999998</v>
      </c>
    </row>
  </sheetData>
  <conditionalFormatting sqref="A2">
    <cfRule type="duplicateValues" dxfId="35" priority="4"/>
  </conditionalFormatting>
  <conditionalFormatting sqref="A2:A10 A12:A26">
    <cfRule type="duplicateValues" dxfId="34" priority="5"/>
    <cfRule type="duplicateValues" dxfId="33" priority="6"/>
    <cfRule type="duplicateValues" dxfId="32" priority="7"/>
  </conditionalFormatting>
  <conditionalFormatting sqref="A11">
    <cfRule type="duplicateValues" dxfId="31" priority="1"/>
    <cfRule type="duplicateValues" dxfId="30" priority="2"/>
    <cfRule type="duplicateValues" dxfId="29" priority="3"/>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26"/>
  <sheetViews>
    <sheetView workbookViewId="0"/>
  </sheetViews>
  <sheetFormatPr defaultRowHeight="14.6" x14ac:dyDescent="0.4"/>
  <cols>
    <col min="2" max="2" width="29.3046875" bestFit="1" customWidth="1"/>
    <col min="4" max="4" width="38.3046875" bestFit="1" customWidth="1"/>
    <col min="6" max="6" width="13.15234375" customWidth="1"/>
    <col min="7" max="7" width="18.69140625" customWidth="1"/>
  </cols>
  <sheetData>
    <row r="1" spans="1:7" x14ac:dyDescent="0.4">
      <c r="A1" s="14" t="s">
        <v>0</v>
      </c>
      <c r="B1" s="14" t="s">
        <v>1</v>
      </c>
      <c r="C1" s="14" t="s">
        <v>2</v>
      </c>
      <c r="D1" s="14" t="s">
        <v>3</v>
      </c>
      <c r="E1" s="14" t="s">
        <v>4</v>
      </c>
      <c r="F1" s="14" t="s">
        <v>5</v>
      </c>
      <c r="G1" s="14" t="s">
        <v>6</v>
      </c>
    </row>
    <row r="2" spans="1:7" x14ac:dyDescent="0.4">
      <c r="A2" s="10" t="s">
        <v>7</v>
      </c>
      <c r="B2">
        <v>1201555.2</v>
      </c>
      <c r="C2">
        <v>18.982710000000001</v>
      </c>
      <c r="D2">
        <v>9691539</v>
      </c>
      <c r="E2" s="10">
        <v>5.67</v>
      </c>
      <c r="F2" s="10">
        <v>0.49429400000000001</v>
      </c>
      <c r="G2">
        <v>10192.529</v>
      </c>
    </row>
    <row r="3" spans="1:7" x14ac:dyDescent="0.4">
      <c r="A3" s="10" t="s">
        <v>11</v>
      </c>
      <c r="B3">
        <v>28768802</v>
      </c>
      <c r="C3">
        <v>16.49174</v>
      </c>
      <c r="D3">
        <v>111591896</v>
      </c>
      <c r="E3" s="10">
        <v>20.64</v>
      </c>
      <c r="F3" s="10">
        <v>0.38143300000000002</v>
      </c>
      <c r="G3">
        <v>18122.863000000001</v>
      </c>
    </row>
    <row r="4" spans="1:7" x14ac:dyDescent="0.4">
      <c r="A4" s="10" t="s">
        <v>12</v>
      </c>
      <c r="B4">
        <v>9323679</v>
      </c>
      <c r="C4">
        <v>13.27885</v>
      </c>
      <c r="D4">
        <v>126559150</v>
      </c>
      <c r="E4" s="10">
        <v>12.69</v>
      </c>
      <c r="F4" s="5">
        <v>0.71222556000000004</v>
      </c>
      <c r="G4">
        <v>39160.324000000001</v>
      </c>
    </row>
    <row r="5" spans="1:7" x14ac:dyDescent="0.4">
      <c r="A5" s="10" t="s">
        <v>13</v>
      </c>
      <c r="B5">
        <v>3847866</v>
      </c>
      <c r="C5">
        <v>20.41206</v>
      </c>
      <c r="D5">
        <v>59439004</v>
      </c>
      <c r="E5" s="10">
        <v>13.63</v>
      </c>
      <c r="F5" s="10">
        <v>0.54433600000000004</v>
      </c>
      <c r="G5">
        <v>16186.409</v>
      </c>
    </row>
    <row r="6" spans="1:7" x14ac:dyDescent="0.4">
      <c r="A6" s="10" t="s">
        <v>14</v>
      </c>
      <c r="B6">
        <v>42385420</v>
      </c>
      <c r="C6">
        <v>7.1536400000000002</v>
      </c>
      <c r="D6">
        <v>857682560</v>
      </c>
      <c r="E6" s="10">
        <v>9.98</v>
      </c>
      <c r="F6" s="10">
        <v>0.78090999999999999</v>
      </c>
      <c r="G6">
        <v>43761.527000000002</v>
      </c>
    </row>
    <row r="7" spans="1:7" x14ac:dyDescent="0.4">
      <c r="A7" s="10" t="s">
        <v>16</v>
      </c>
      <c r="B7">
        <v>342181.62</v>
      </c>
      <c r="C7">
        <v>15.126860000000001</v>
      </c>
      <c r="D7">
        <v>7644012</v>
      </c>
      <c r="E7" s="10">
        <v>4.26</v>
      </c>
      <c r="F7" s="10">
        <v>0.68421100000000001</v>
      </c>
      <c r="G7">
        <v>25081.504000000001</v>
      </c>
    </row>
    <row r="8" spans="1:7" x14ac:dyDescent="0.4">
      <c r="A8" s="10" t="s">
        <v>17</v>
      </c>
      <c r="B8">
        <v>6440591.5</v>
      </c>
      <c r="C8">
        <v>17.515899999999998</v>
      </c>
      <c r="D8">
        <v>119829860</v>
      </c>
      <c r="E8" s="10">
        <v>23.92</v>
      </c>
      <c r="F8" s="10">
        <v>0.68402399999999997</v>
      </c>
      <c r="G8">
        <v>28437.603999999999</v>
      </c>
    </row>
    <row r="9" spans="1:7" x14ac:dyDescent="0.4">
      <c r="A9" s="10" t="s">
        <v>20</v>
      </c>
      <c r="B9">
        <v>7348762</v>
      </c>
      <c r="C9">
        <v>5.8262299999999998</v>
      </c>
      <c r="D9">
        <v>88243340</v>
      </c>
      <c r="E9" s="10">
        <v>14.68</v>
      </c>
      <c r="F9" s="10">
        <v>0.71167100000000005</v>
      </c>
      <c r="G9">
        <v>36986.699999999997</v>
      </c>
    </row>
    <row r="10" spans="1:7" x14ac:dyDescent="0.4">
      <c r="A10" s="10" t="s">
        <v>21</v>
      </c>
      <c r="B10">
        <v>39493550</v>
      </c>
      <c r="C10">
        <v>12.20689</v>
      </c>
      <c r="D10">
        <v>404057660</v>
      </c>
      <c r="E10" s="10">
        <v>10.43</v>
      </c>
      <c r="F10" s="5">
        <v>0.73974150000000005</v>
      </c>
      <c r="G10">
        <v>37077.89</v>
      </c>
    </row>
    <row r="11" spans="1:7" x14ac:dyDescent="0.4">
      <c r="A11" s="10" t="s">
        <v>24</v>
      </c>
      <c r="B11">
        <v>4579830</v>
      </c>
      <c r="C11">
        <v>16.445550000000001</v>
      </c>
      <c r="D11">
        <v>84390630</v>
      </c>
      <c r="E11" s="10">
        <v>8.2899999999999991</v>
      </c>
      <c r="F11" s="10">
        <v>0.64623299999999995</v>
      </c>
      <c r="G11">
        <v>22696.203000000001</v>
      </c>
    </row>
    <row r="12" spans="1:7" x14ac:dyDescent="0.4">
      <c r="A12" s="10" t="s">
        <v>22</v>
      </c>
      <c r="B12">
        <v>1816214.2</v>
      </c>
      <c r="C12">
        <v>22.569389999999999</v>
      </c>
      <c r="D12">
        <v>9192436</v>
      </c>
      <c r="E12" s="10">
        <v>8.86</v>
      </c>
      <c r="F12" s="10">
        <v>0.55564499999999994</v>
      </c>
      <c r="G12">
        <v>10629.593999999999</v>
      </c>
    </row>
    <row r="13" spans="1:7" x14ac:dyDescent="0.4">
      <c r="A13" s="10" t="s">
        <v>26</v>
      </c>
      <c r="B13">
        <v>367652.34</v>
      </c>
      <c r="C13">
        <v>6.4300100000000002</v>
      </c>
      <c r="D13">
        <v>4808067.5</v>
      </c>
      <c r="E13" s="10">
        <v>10.73</v>
      </c>
      <c r="F13" s="10">
        <v>0.76290400000000003</v>
      </c>
      <c r="G13">
        <v>39756.527000000002</v>
      </c>
    </row>
    <row r="14" spans="1:7" x14ac:dyDescent="0.4">
      <c r="A14" s="10" t="s">
        <v>28</v>
      </c>
      <c r="B14">
        <v>2627072.7999999998</v>
      </c>
      <c r="C14">
        <v>21.654979999999998</v>
      </c>
      <c r="D14">
        <v>77176136</v>
      </c>
      <c r="E14" s="10">
        <v>12.78</v>
      </c>
      <c r="F14" s="10">
        <v>0.73618799999999995</v>
      </c>
      <c r="G14">
        <v>31050.407999999999</v>
      </c>
    </row>
    <row r="15" spans="1:7" x14ac:dyDescent="0.4">
      <c r="A15" s="10" t="s">
        <v>29</v>
      </c>
      <c r="B15">
        <v>16488255</v>
      </c>
      <c r="C15">
        <v>17.27739</v>
      </c>
      <c r="D15">
        <v>397890080</v>
      </c>
      <c r="E15" s="10">
        <v>14.4</v>
      </c>
      <c r="F15" s="10">
        <v>0.70633299999999999</v>
      </c>
      <c r="G15">
        <v>33620.741999999998</v>
      </c>
    </row>
    <row r="16" spans="1:7" x14ac:dyDescent="0.4">
      <c r="A16" s="10" t="s">
        <v>30</v>
      </c>
      <c r="B16">
        <v>11072543</v>
      </c>
      <c r="C16">
        <v>30.831779999999998</v>
      </c>
      <c r="D16">
        <v>369324380</v>
      </c>
      <c r="E16" s="10">
        <v>10.28</v>
      </c>
      <c r="F16" s="10">
        <v>0.37193799999999999</v>
      </c>
      <c r="G16">
        <v>23782.562000000002</v>
      </c>
    </row>
    <row r="17" spans="1:7" x14ac:dyDescent="0.4">
      <c r="A17" s="10" t="s">
        <v>33</v>
      </c>
      <c r="B17">
        <v>6299640</v>
      </c>
      <c r="C17">
        <v>11.437580000000001</v>
      </c>
      <c r="D17">
        <v>25367098</v>
      </c>
      <c r="E17" s="10">
        <v>17.21</v>
      </c>
      <c r="F17" s="10">
        <v>0.66436799999999996</v>
      </c>
      <c r="G17">
        <v>23968.848000000002</v>
      </c>
    </row>
    <row r="18" spans="1:7" x14ac:dyDescent="0.4">
      <c r="A18" s="10" t="s">
        <v>34</v>
      </c>
      <c r="B18">
        <v>49154.36</v>
      </c>
      <c r="C18">
        <v>13.853</v>
      </c>
      <c r="D18">
        <v>1892776</v>
      </c>
      <c r="E18" s="10">
        <v>7.45</v>
      </c>
      <c r="F18" s="10">
        <v>0.67796100000000004</v>
      </c>
      <c r="G18">
        <v>28906.48</v>
      </c>
    </row>
    <row r="19" spans="1:7" x14ac:dyDescent="0.4">
      <c r="A19" s="10" t="s">
        <v>35</v>
      </c>
      <c r="B19">
        <v>12815863</v>
      </c>
      <c r="C19">
        <v>12.585039999999999</v>
      </c>
      <c r="D19">
        <v>209520130</v>
      </c>
      <c r="E19" s="10">
        <v>10.8</v>
      </c>
      <c r="F19" s="10">
        <v>0.74280800000000002</v>
      </c>
      <c r="G19">
        <v>44912.663999999997</v>
      </c>
    </row>
    <row r="20" spans="1:7" x14ac:dyDescent="0.4">
      <c r="A20" s="10" t="s">
        <v>38</v>
      </c>
      <c r="B20">
        <v>3354506.2</v>
      </c>
      <c r="C20">
        <v>8.6753400000000003</v>
      </c>
      <c r="D20">
        <v>63353732</v>
      </c>
      <c r="E20" s="10">
        <v>12.14</v>
      </c>
      <c r="F20" s="10">
        <v>0.62483999999999995</v>
      </c>
      <c r="G20">
        <v>24983.701000000001</v>
      </c>
    </row>
    <row r="21" spans="1:7" x14ac:dyDescent="0.4">
      <c r="A21" s="10" t="s">
        <v>40</v>
      </c>
      <c r="B21">
        <v>3466474</v>
      </c>
      <c r="C21">
        <v>25.332979999999999</v>
      </c>
      <c r="D21">
        <v>45359156</v>
      </c>
      <c r="E21" s="10">
        <v>14.77</v>
      </c>
      <c r="F21" s="10">
        <v>0.47647099999999998</v>
      </c>
      <c r="G21">
        <v>13013.853999999999</v>
      </c>
    </row>
    <row r="22" spans="1:7" x14ac:dyDescent="0.4">
      <c r="A22" s="10" t="s">
        <v>41</v>
      </c>
      <c r="B22">
        <v>3237510.5</v>
      </c>
      <c r="C22">
        <v>19.049779999999998</v>
      </c>
      <c r="D22">
        <v>62561244</v>
      </c>
      <c r="E22" s="10">
        <v>19.59</v>
      </c>
      <c r="F22" s="10">
        <v>0.65545699999999996</v>
      </c>
      <c r="G22">
        <v>24647.719000000001</v>
      </c>
    </row>
    <row r="23" spans="1:7" x14ac:dyDescent="0.4">
      <c r="A23" s="10" t="s">
        <v>43</v>
      </c>
      <c r="B23">
        <v>21216588</v>
      </c>
      <c r="C23">
        <v>11.11022</v>
      </c>
      <c r="D23">
        <v>324089500</v>
      </c>
      <c r="E23" s="10">
        <v>11.29</v>
      </c>
      <c r="F23" s="5">
        <v>0.66597989999999996</v>
      </c>
      <c r="G23" s="4">
        <v>32057.098000000002</v>
      </c>
    </row>
    <row r="24" spans="1:7" x14ac:dyDescent="0.4">
      <c r="A24" s="10" t="s">
        <v>48</v>
      </c>
      <c r="B24">
        <v>30488942</v>
      </c>
      <c r="C24">
        <v>11.082789999999999</v>
      </c>
      <c r="D24">
        <v>517176200</v>
      </c>
      <c r="E24" s="10">
        <v>9.2899999999999991</v>
      </c>
      <c r="F24" s="10">
        <v>0.78159500000000004</v>
      </c>
      <c r="G24">
        <v>37101.226999999999</v>
      </c>
    </row>
    <row r="25" spans="1:7" x14ac:dyDescent="0.4">
      <c r="A25" s="10" t="s">
        <v>49</v>
      </c>
      <c r="B25">
        <v>251828430</v>
      </c>
      <c r="C25">
        <v>8.3103599999999993</v>
      </c>
      <c r="D25">
        <v>6248505300</v>
      </c>
      <c r="E25" s="10">
        <v>11.7</v>
      </c>
      <c r="F25" s="6">
        <v>0.77281093999999995</v>
      </c>
      <c r="G25">
        <v>52808.152000000002</v>
      </c>
    </row>
    <row r="26" spans="1:7" x14ac:dyDescent="0.4">
      <c r="A26" s="10" t="s">
        <v>50</v>
      </c>
      <c r="B26">
        <v>12312490</v>
      </c>
      <c r="C26">
        <v>48.461559999999999</v>
      </c>
      <c r="D26">
        <v>178154300</v>
      </c>
      <c r="E26" s="10">
        <v>12.81</v>
      </c>
      <c r="F26" s="10">
        <v>0.27352799999999999</v>
      </c>
      <c r="G26">
        <v>9381.3469999999998</v>
      </c>
    </row>
  </sheetData>
  <conditionalFormatting sqref="A2">
    <cfRule type="duplicateValues" dxfId="28" priority="52"/>
  </conditionalFormatting>
  <conditionalFormatting sqref="A2:A10 A12:A26">
    <cfRule type="duplicateValues" dxfId="27" priority="71"/>
    <cfRule type="duplicateValues" dxfId="26" priority="72"/>
    <cfRule type="duplicateValues" dxfId="25" priority="73"/>
  </conditionalFormatting>
  <conditionalFormatting sqref="A11">
    <cfRule type="duplicateValues" dxfId="24" priority="1"/>
    <cfRule type="duplicateValues" dxfId="23" priority="2"/>
    <cfRule type="duplicateValues" dxfId="22" priority="3"/>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45"/>
  <sheetViews>
    <sheetView workbookViewId="0"/>
  </sheetViews>
  <sheetFormatPr defaultRowHeight="14.6" x14ac:dyDescent="0.4"/>
  <sheetData>
    <row r="1" spans="1:8" x14ac:dyDescent="0.4">
      <c r="A1" s="16" t="s">
        <v>0</v>
      </c>
      <c r="B1" s="16" t="s">
        <v>1</v>
      </c>
      <c r="C1" s="16" t="s">
        <v>2</v>
      </c>
      <c r="D1" s="16" t="s">
        <v>3</v>
      </c>
      <c r="E1" s="16" t="s">
        <v>4</v>
      </c>
      <c r="F1" s="16" t="s">
        <v>5</v>
      </c>
      <c r="G1" s="16" t="s">
        <v>6</v>
      </c>
      <c r="H1" s="16" t="s">
        <v>118</v>
      </c>
    </row>
    <row r="2" spans="1:8" x14ac:dyDescent="0.4">
      <c r="A2" t="s">
        <v>7</v>
      </c>
      <c r="B2">
        <v>1201555.2</v>
      </c>
      <c r="C2">
        <v>18.982710000000001</v>
      </c>
      <c r="D2">
        <v>9691539</v>
      </c>
      <c r="E2">
        <v>5.67</v>
      </c>
      <c r="F2">
        <v>0.49429400000000001</v>
      </c>
      <c r="G2">
        <v>10192.529</v>
      </c>
      <c r="H2">
        <v>0.28430107158499818</v>
      </c>
    </row>
    <row r="3" spans="1:8" x14ac:dyDescent="0.4">
      <c r="A3" t="s">
        <v>8</v>
      </c>
      <c r="B3">
        <v>1064272.8</v>
      </c>
      <c r="C3">
        <v>40.585369999999998</v>
      </c>
      <c r="D3">
        <v>8801828</v>
      </c>
      <c r="E3">
        <v>9.2100000000000009</v>
      </c>
      <c r="F3">
        <v>0.43820999999999999</v>
      </c>
      <c r="G3">
        <v>10076.352000000001</v>
      </c>
      <c r="H3">
        <v>0.33066500277044503</v>
      </c>
    </row>
    <row r="4" spans="1:8" x14ac:dyDescent="0.4">
      <c r="A4" t="s">
        <v>9</v>
      </c>
      <c r="B4">
        <v>3972916</v>
      </c>
      <c r="C4">
        <v>13.628450000000001</v>
      </c>
      <c r="D4">
        <v>75462370</v>
      </c>
      <c r="E4">
        <v>16.690000000000001</v>
      </c>
      <c r="F4">
        <v>0.70839799999999997</v>
      </c>
      <c r="G4">
        <v>41255.714999999997</v>
      </c>
      <c r="H4">
        <v>0.55350533446805694</v>
      </c>
    </row>
    <row r="5" spans="1:8" x14ac:dyDescent="0.4">
      <c r="A5" t="s">
        <v>10</v>
      </c>
      <c r="B5">
        <v>3567308.2</v>
      </c>
      <c r="C5">
        <v>29.667269999999998</v>
      </c>
      <c r="D5">
        <v>60206376</v>
      </c>
      <c r="E5">
        <v>4.99</v>
      </c>
      <c r="F5">
        <v>0.30621900000000002</v>
      </c>
      <c r="G5">
        <v>17463.758000000002</v>
      </c>
      <c r="H5">
        <v>9.4175692135190239E-2</v>
      </c>
    </row>
    <row r="6" spans="1:8" x14ac:dyDescent="0.4">
      <c r="A6" t="s">
        <v>11</v>
      </c>
      <c r="B6">
        <v>28768802</v>
      </c>
      <c r="C6">
        <v>16.49174</v>
      </c>
      <c r="D6">
        <v>111591896</v>
      </c>
      <c r="E6">
        <v>20.64</v>
      </c>
      <c r="F6">
        <v>0.38143300000000002</v>
      </c>
      <c r="G6">
        <v>18122.863000000001</v>
      </c>
      <c r="H6">
        <v>0.33434631368029349</v>
      </c>
    </row>
    <row r="7" spans="1:8" x14ac:dyDescent="0.4">
      <c r="A7" t="s">
        <v>12</v>
      </c>
      <c r="B7">
        <v>9323679</v>
      </c>
      <c r="C7">
        <v>13.27885</v>
      </c>
      <c r="D7">
        <v>126559150</v>
      </c>
      <c r="E7">
        <v>12.69</v>
      </c>
      <c r="F7">
        <v>0.71222556000000004</v>
      </c>
      <c r="G7">
        <v>39160.324000000001</v>
      </c>
      <c r="H7">
        <v>0.45030144374253661</v>
      </c>
    </row>
    <row r="8" spans="1:8" x14ac:dyDescent="0.4">
      <c r="A8" t="s">
        <v>13</v>
      </c>
      <c r="B8">
        <v>3847866</v>
      </c>
      <c r="C8">
        <v>20.41206</v>
      </c>
      <c r="D8">
        <v>59439004</v>
      </c>
      <c r="E8">
        <v>13.63</v>
      </c>
      <c r="F8">
        <v>0.54433600000000004</v>
      </c>
      <c r="G8">
        <v>16186.409</v>
      </c>
      <c r="H8">
        <v>0.33835525779446329</v>
      </c>
    </row>
    <row r="9" spans="1:8" x14ac:dyDescent="0.4">
      <c r="A9" t="s">
        <v>14</v>
      </c>
      <c r="B9">
        <v>42385420</v>
      </c>
      <c r="C9">
        <v>7.1536400000000002</v>
      </c>
      <c r="D9">
        <v>857682560</v>
      </c>
      <c r="E9">
        <v>9.98</v>
      </c>
      <c r="F9">
        <v>0.78090999999999999</v>
      </c>
      <c r="G9">
        <v>43761.527000000002</v>
      </c>
      <c r="H9">
        <v>0.88596083943934567</v>
      </c>
    </row>
    <row r="10" spans="1:8" x14ac:dyDescent="0.4">
      <c r="A10" t="s">
        <v>15</v>
      </c>
      <c r="B10">
        <v>2343456</v>
      </c>
      <c r="C10">
        <v>18.646889999999999</v>
      </c>
      <c r="D10">
        <v>23499504</v>
      </c>
      <c r="E10">
        <v>12.73</v>
      </c>
      <c r="F10">
        <v>0.60917900000000003</v>
      </c>
      <c r="G10">
        <v>20025.754000000001</v>
      </c>
      <c r="H10">
        <v>0.3735252207208547</v>
      </c>
    </row>
    <row r="11" spans="1:8" x14ac:dyDescent="0.4">
      <c r="A11" t="s">
        <v>16</v>
      </c>
      <c r="B11">
        <v>342181.62</v>
      </c>
      <c r="C11">
        <v>15.126860000000001</v>
      </c>
      <c r="D11">
        <v>7644012</v>
      </c>
      <c r="E11">
        <v>4.26</v>
      </c>
      <c r="F11">
        <v>0.68421100000000001</v>
      </c>
      <c r="G11">
        <v>25081.504000000001</v>
      </c>
      <c r="H11">
        <v>0.61347314805429587</v>
      </c>
    </row>
    <row r="12" spans="1:8" x14ac:dyDescent="0.4">
      <c r="A12" t="s">
        <v>17</v>
      </c>
      <c r="B12">
        <v>6440591.5</v>
      </c>
      <c r="C12">
        <v>17.515899999999998</v>
      </c>
      <c r="D12">
        <v>119829860</v>
      </c>
      <c r="E12">
        <v>23.92</v>
      </c>
      <c r="F12">
        <v>0.68402399999999997</v>
      </c>
      <c r="G12">
        <v>28437.603999999999</v>
      </c>
      <c r="H12">
        <v>0.57155285274330114</v>
      </c>
    </row>
    <row r="13" spans="1:8" x14ac:dyDescent="0.4">
      <c r="A13" t="s">
        <v>18</v>
      </c>
      <c r="B13">
        <v>5416969.5</v>
      </c>
      <c r="C13">
        <v>10.725849999999999</v>
      </c>
      <c r="D13">
        <v>52924036</v>
      </c>
      <c r="E13">
        <v>12.4</v>
      </c>
      <c r="F13">
        <v>0.77490199999999998</v>
      </c>
      <c r="G13">
        <v>44940.887000000002</v>
      </c>
      <c r="H13">
        <v>0.61493713376471248</v>
      </c>
    </row>
    <row r="14" spans="1:8" x14ac:dyDescent="0.4">
      <c r="A14" t="s">
        <v>19</v>
      </c>
      <c r="B14">
        <v>1773684.6</v>
      </c>
      <c r="C14">
        <v>6.7455800000000004</v>
      </c>
      <c r="D14">
        <v>21289860</v>
      </c>
      <c r="E14">
        <v>13.91</v>
      </c>
      <c r="F14">
        <v>0.71085799999999999</v>
      </c>
      <c r="G14">
        <v>24473.66</v>
      </c>
      <c r="H14">
        <v>0.96080440680750312</v>
      </c>
    </row>
    <row r="15" spans="1:8" x14ac:dyDescent="0.4">
      <c r="A15" s="14" t="s">
        <v>20</v>
      </c>
      <c r="B15">
        <v>7348762</v>
      </c>
      <c r="C15">
        <v>5.8262299999999998</v>
      </c>
      <c r="D15">
        <v>88243340</v>
      </c>
      <c r="E15">
        <v>14.68</v>
      </c>
      <c r="F15">
        <v>0.71167100000000005</v>
      </c>
      <c r="G15">
        <v>36986.699999999997</v>
      </c>
      <c r="H15">
        <v>1</v>
      </c>
    </row>
    <row r="16" spans="1:8" x14ac:dyDescent="0.4">
      <c r="A16" t="s">
        <v>21</v>
      </c>
      <c r="B16">
        <v>39493550</v>
      </c>
      <c r="C16">
        <v>12.20689</v>
      </c>
      <c r="D16">
        <v>404057660</v>
      </c>
      <c r="E16">
        <v>10.43</v>
      </c>
      <c r="F16">
        <v>0.73974150000000005</v>
      </c>
      <c r="G16">
        <v>37077.89</v>
      </c>
      <c r="H16">
        <v>0.49169393427136149</v>
      </c>
    </row>
    <row r="17" spans="1:8" x14ac:dyDescent="0.4">
      <c r="A17" t="s">
        <v>22</v>
      </c>
      <c r="B17">
        <v>1816214.2</v>
      </c>
      <c r="C17">
        <v>22.569389999999999</v>
      </c>
      <c r="D17">
        <v>9192436</v>
      </c>
      <c r="E17">
        <v>8.86</v>
      </c>
      <c r="F17">
        <v>0.55564499999999994</v>
      </c>
      <c r="G17">
        <v>10629.593999999999</v>
      </c>
      <c r="H17">
        <v>0.37794701764830441</v>
      </c>
    </row>
    <row r="18" spans="1:8" x14ac:dyDescent="0.4">
      <c r="A18" t="s">
        <v>23</v>
      </c>
      <c r="B18">
        <v>39767790</v>
      </c>
      <c r="C18">
        <v>12.644629999999999</v>
      </c>
      <c r="D18">
        <v>894566400</v>
      </c>
      <c r="E18">
        <v>20.350000000000001</v>
      </c>
      <c r="F18">
        <v>0.78161800000000003</v>
      </c>
      <c r="G18">
        <v>44405.167999999998</v>
      </c>
      <c r="H18">
        <v>0.55993240952064971</v>
      </c>
    </row>
    <row r="19" spans="1:8" x14ac:dyDescent="0.4">
      <c r="A19" t="s">
        <v>24</v>
      </c>
      <c r="B19">
        <v>4579830</v>
      </c>
      <c r="C19">
        <v>16.445550000000001</v>
      </c>
      <c r="D19">
        <v>84390630</v>
      </c>
      <c r="E19">
        <v>8.2899999999999991</v>
      </c>
      <c r="F19">
        <v>0.64623299999999995</v>
      </c>
      <c r="G19">
        <v>22696.203000000001</v>
      </c>
      <c r="H19">
        <v>0.32915798958893189</v>
      </c>
    </row>
    <row r="20" spans="1:8" x14ac:dyDescent="0.4">
      <c r="A20" t="s">
        <v>25</v>
      </c>
      <c r="B20">
        <v>6969051</v>
      </c>
      <c r="C20">
        <v>17.161010000000001</v>
      </c>
      <c r="D20">
        <v>57328544</v>
      </c>
      <c r="E20">
        <v>20.22</v>
      </c>
      <c r="F20">
        <v>0.56093099999999996</v>
      </c>
      <c r="G20">
        <v>22993.375</v>
      </c>
      <c r="H20">
        <v>0.47540602628082562</v>
      </c>
    </row>
    <row r="21" spans="1:8" x14ac:dyDescent="0.4">
      <c r="A21" s="14" t="s">
        <v>26</v>
      </c>
      <c r="B21">
        <v>367652.34</v>
      </c>
      <c r="C21">
        <v>6.4300100000000002</v>
      </c>
      <c r="D21">
        <v>4808067.5</v>
      </c>
      <c r="E21">
        <v>10.73</v>
      </c>
      <c r="F21">
        <v>0.76290400000000003</v>
      </c>
      <c r="G21">
        <v>39756.527000000002</v>
      </c>
      <c r="H21">
        <v>1</v>
      </c>
    </row>
    <row r="22" spans="1:8" x14ac:dyDescent="0.4">
      <c r="A22" s="14" t="s">
        <v>27</v>
      </c>
      <c r="B22">
        <v>8910458</v>
      </c>
      <c r="C22">
        <v>9.1618700000000004</v>
      </c>
      <c r="D22">
        <v>63314196</v>
      </c>
      <c r="E22">
        <v>34.75</v>
      </c>
      <c r="F22">
        <v>0.75645300000000004</v>
      </c>
      <c r="G22">
        <v>53196.597999999998</v>
      </c>
      <c r="H22">
        <v>1</v>
      </c>
    </row>
    <row r="23" spans="1:8" x14ac:dyDescent="0.4">
      <c r="A23" t="s">
        <v>28</v>
      </c>
      <c r="B23">
        <v>2627072.7999999998</v>
      </c>
      <c r="C23">
        <v>21.654979999999998</v>
      </c>
      <c r="D23">
        <v>77176136</v>
      </c>
      <c r="E23">
        <v>12.78</v>
      </c>
      <c r="F23">
        <v>0.73618799999999995</v>
      </c>
      <c r="G23">
        <v>31050.407999999999</v>
      </c>
      <c r="H23">
        <v>0.32469982475926662</v>
      </c>
    </row>
    <row r="24" spans="1:8" x14ac:dyDescent="0.4">
      <c r="A24" t="s">
        <v>29</v>
      </c>
      <c r="B24">
        <v>16488255</v>
      </c>
      <c r="C24">
        <v>17.27739</v>
      </c>
      <c r="D24">
        <v>397890080</v>
      </c>
      <c r="E24">
        <v>14.4</v>
      </c>
      <c r="F24">
        <v>0.70633299999999999</v>
      </c>
      <c r="G24">
        <v>33620.741999999998</v>
      </c>
      <c r="H24">
        <v>0.34539598726016268</v>
      </c>
    </row>
    <row r="25" spans="1:8" x14ac:dyDescent="0.4">
      <c r="A25" t="s">
        <v>30</v>
      </c>
      <c r="B25">
        <v>11072543</v>
      </c>
      <c r="C25">
        <v>30.831779999999998</v>
      </c>
      <c r="D25">
        <v>369324380</v>
      </c>
      <c r="E25">
        <v>10.28</v>
      </c>
      <c r="F25">
        <v>0.37193799999999999</v>
      </c>
      <c r="G25">
        <v>23782.562000000002</v>
      </c>
      <c r="H25">
        <v>0.14071907327668129</v>
      </c>
    </row>
    <row r="26" spans="1:8" x14ac:dyDescent="0.4">
      <c r="A26" t="s">
        <v>31</v>
      </c>
      <c r="B26">
        <v>1701691.8</v>
      </c>
      <c r="C26">
        <v>44.577559999999998</v>
      </c>
      <c r="D26">
        <v>20268746</v>
      </c>
      <c r="E26">
        <v>14.05</v>
      </c>
      <c r="F26">
        <v>0.41885</v>
      </c>
      <c r="G26">
        <v>4772.76</v>
      </c>
      <c r="H26">
        <v>0.27981757179240507</v>
      </c>
    </row>
    <row r="27" spans="1:8" x14ac:dyDescent="0.4">
      <c r="A27" t="s">
        <v>32</v>
      </c>
      <c r="B27">
        <v>2201798.7999999998</v>
      </c>
      <c r="C27">
        <v>13.399559999999999</v>
      </c>
      <c r="D27">
        <v>15552152</v>
      </c>
      <c r="E27">
        <v>10.47</v>
      </c>
      <c r="F27">
        <v>0.62699199999999999</v>
      </c>
      <c r="G27">
        <v>22179.42</v>
      </c>
      <c r="H27">
        <v>0.43144542072000852</v>
      </c>
    </row>
    <row r="28" spans="1:8" x14ac:dyDescent="0.4">
      <c r="A28" t="s">
        <v>33</v>
      </c>
      <c r="B28">
        <v>6299640</v>
      </c>
      <c r="C28">
        <v>11.437580000000001</v>
      </c>
      <c r="D28">
        <v>25367098</v>
      </c>
      <c r="E28">
        <v>17.21</v>
      </c>
      <c r="F28">
        <v>0.66436799999999996</v>
      </c>
      <c r="G28">
        <v>23968.848000000002</v>
      </c>
      <c r="H28">
        <v>0.69166987338935149</v>
      </c>
    </row>
    <row r="29" spans="1:8" x14ac:dyDescent="0.4">
      <c r="A29" s="14" t="s">
        <v>34</v>
      </c>
      <c r="B29">
        <v>49154.36</v>
      </c>
      <c r="C29">
        <v>13.853</v>
      </c>
      <c r="D29">
        <v>1892776</v>
      </c>
      <c r="E29">
        <v>7.45</v>
      </c>
      <c r="F29">
        <v>0.67796100000000004</v>
      </c>
      <c r="G29">
        <v>28906.48</v>
      </c>
      <c r="H29">
        <v>1</v>
      </c>
    </row>
    <row r="30" spans="1:8" x14ac:dyDescent="0.4">
      <c r="A30" t="s">
        <v>35</v>
      </c>
      <c r="B30">
        <v>12815863</v>
      </c>
      <c r="C30">
        <v>12.585039999999999</v>
      </c>
      <c r="D30">
        <v>209520130</v>
      </c>
      <c r="E30">
        <v>10.8</v>
      </c>
      <c r="F30">
        <v>0.74280800000000002</v>
      </c>
      <c r="G30">
        <v>44912.663999999997</v>
      </c>
      <c r="H30">
        <v>0.48565402158594878</v>
      </c>
    </row>
    <row r="31" spans="1:8" x14ac:dyDescent="0.4">
      <c r="A31" s="14" t="s">
        <v>36</v>
      </c>
      <c r="B31">
        <v>4156485.5</v>
      </c>
      <c r="C31">
        <v>6.8202999999999996</v>
      </c>
      <c r="D31">
        <v>75014970</v>
      </c>
      <c r="E31">
        <v>6.96</v>
      </c>
      <c r="F31">
        <v>0.80465399999999998</v>
      </c>
      <c r="G31">
        <v>82983.990000000005</v>
      </c>
      <c r="H31">
        <v>1</v>
      </c>
    </row>
    <row r="32" spans="1:8" x14ac:dyDescent="0.4">
      <c r="A32" t="s">
        <v>37</v>
      </c>
      <c r="B32">
        <v>27035148</v>
      </c>
      <c r="C32">
        <v>22.587910000000001</v>
      </c>
      <c r="D32">
        <v>353246460</v>
      </c>
      <c r="E32">
        <v>17.87</v>
      </c>
      <c r="F32">
        <v>0.65846499999999997</v>
      </c>
      <c r="G32">
        <v>24285.14</v>
      </c>
      <c r="H32">
        <v>0.26808658625466453</v>
      </c>
    </row>
    <row r="33" spans="1:8" x14ac:dyDescent="0.4">
      <c r="A33" t="s">
        <v>38</v>
      </c>
      <c r="B33">
        <v>3354506.2</v>
      </c>
      <c r="C33">
        <v>8.6753400000000003</v>
      </c>
      <c r="D33">
        <v>63353732</v>
      </c>
      <c r="E33">
        <v>12.14</v>
      </c>
      <c r="F33">
        <v>0.62483999999999995</v>
      </c>
      <c r="G33">
        <v>24983.701000000001</v>
      </c>
      <c r="H33">
        <v>0.64153350080623761</v>
      </c>
    </row>
    <row r="34" spans="1:8" x14ac:dyDescent="0.4">
      <c r="A34" t="s">
        <v>39</v>
      </c>
      <c r="B34">
        <v>9536401</v>
      </c>
      <c r="C34">
        <v>15.41342</v>
      </c>
      <c r="D34">
        <v>100242660</v>
      </c>
      <c r="E34">
        <v>20.21</v>
      </c>
      <c r="F34">
        <v>0.53965700000000005</v>
      </c>
      <c r="G34">
        <v>19162.186000000002</v>
      </c>
      <c r="H34">
        <v>0.441215869167567</v>
      </c>
    </row>
    <row r="35" spans="1:8" x14ac:dyDescent="0.4">
      <c r="A35" t="s">
        <v>40</v>
      </c>
      <c r="B35">
        <v>3466474</v>
      </c>
      <c r="C35">
        <v>25.332979999999999</v>
      </c>
      <c r="D35">
        <v>45359156</v>
      </c>
      <c r="E35">
        <v>14.77</v>
      </c>
      <c r="F35">
        <v>0.47647099999999998</v>
      </c>
      <c r="G35">
        <v>13013.853999999999</v>
      </c>
      <c r="H35">
        <v>0.31454384257948859</v>
      </c>
    </row>
    <row r="36" spans="1:8" x14ac:dyDescent="0.4">
      <c r="A36" t="s">
        <v>41</v>
      </c>
      <c r="B36">
        <v>3237510.5</v>
      </c>
      <c r="C36">
        <v>19.049779999999998</v>
      </c>
      <c r="D36">
        <v>62561244</v>
      </c>
      <c r="E36">
        <v>19.59</v>
      </c>
      <c r="F36">
        <v>0.65545699999999996</v>
      </c>
      <c r="G36">
        <v>24647.719000000001</v>
      </c>
      <c r="H36">
        <v>0.53271005612944633</v>
      </c>
    </row>
    <row r="37" spans="1:8" x14ac:dyDescent="0.4">
      <c r="A37" t="s">
        <v>42</v>
      </c>
      <c r="B37">
        <v>794894.94</v>
      </c>
      <c r="C37">
        <v>17.55293</v>
      </c>
      <c r="D37">
        <v>20779568</v>
      </c>
      <c r="E37">
        <v>19.940000000000001</v>
      </c>
      <c r="F37">
        <v>0.72378500000000001</v>
      </c>
      <c r="G37">
        <v>26186.248</v>
      </c>
      <c r="H37">
        <v>0.80114760347891445</v>
      </c>
    </row>
    <row r="38" spans="1:8" x14ac:dyDescent="0.4">
      <c r="A38" t="s">
        <v>43</v>
      </c>
      <c r="B38">
        <v>21216588</v>
      </c>
      <c r="C38">
        <v>11.11022</v>
      </c>
      <c r="D38">
        <v>324089500</v>
      </c>
      <c r="E38">
        <v>11.29</v>
      </c>
      <c r="F38">
        <v>0.66597989999999996</v>
      </c>
      <c r="G38">
        <v>32057.098000000002</v>
      </c>
      <c r="H38">
        <v>0.48636057279715877</v>
      </c>
    </row>
    <row r="39" spans="1:8" x14ac:dyDescent="0.4">
      <c r="A39" s="14" t="s">
        <v>44</v>
      </c>
      <c r="B39">
        <v>9205298</v>
      </c>
      <c r="C39">
        <v>6.3726599999999998</v>
      </c>
      <c r="D39">
        <v>75343464</v>
      </c>
      <c r="E39">
        <v>13.61</v>
      </c>
      <c r="F39">
        <v>0.78541799999999995</v>
      </c>
      <c r="G39">
        <v>43782.457000000002</v>
      </c>
      <c r="H39">
        <v>1</v>
      </c>
    </row>
    <row r="40" spans="1:8" x14ac:dyDescent="0.4">
      <c r="A40" t="s">
        <v>45</v>
      </c>
      <c r="B40">
        <v>2282562.7999999998</v>
      </c>
      <c r="C40">
        <v>10.81907</v>
      </c>
      <c r="D40">
        <v>45879580</v>
      </c>
      <c r="E40">
        <v>17.12</v>
      </c>
      <c r="F40">
        <v>0.84757000000000005</v>
      </c>
      <c r="G40">
        <v>60070.866999999998</v>
      </c>
      <c r="H40">
        <v>0.8422393929573222</v>
      </c>
    </row>
    <row r="41" spans="1:8" x14ac:dyDescent="0.4">
      <c r="A41" t="s">
        <v>46</v>
      </c>
      <c r="B41">
        <v>1821999.2</v>
      </c>
      <c r="C41">
        <v>63.279150000000001</v>
      </c>
      <c r="D41">
        <v>16845876</v>
      </c>
      <c r="E41">
        <v>10.08</v>
      </c>
      <c r="F41">
        <v>0.24573400000000001</v>
      </c>
      <c r="G41">
        <v>3784.3434999999999</v>
      </c>
      <c r="H41">
        <v>0.2048546265083212</v>
      </c>
    </row>
    <row r="42" spans="1:8" x14ac:dyDescent="0.4">
      <c r="A42" t="s">
        <v>47</v>
      </c>
      <c r="B42">
        <v>23037010</v>
      </c>
      <c r="C42">
        <v>14.66802</v>
      </c>
      <c r="D42">
        <v>312214500</v>
      </c>
      <c r="E42">
        <v>11.9</v>
      </c>
      <c r="F42">
        <v>0.41184900000000002</v>
      </c>
      <c r="G42">
        <v>8959.1740000000009</v>
      </c>
      <c r="H42">
        <v>0.26585939415739418</v>
      </c>
    </row>
    <row r="43" spans="1:8" x14ac:dyDescent="0.4">
      <c r="A43" t="s">
        <v>48</v>
      </c>
      <c r="B43">
        <v>30488942</v>
      </c>
      <c r="C43">
        <v>11.082789999999999</v>
      </c>
      <c r="D43">
        <v>517176200</v>
      </c>
      <c r="E43">
        <v>9.2899999999999991</v>
      </c>
      <c r="F43">
        <v>0.78159500000000004</v>
      </c>
      <c r="G43">
        <v>37101.226999999999</v>
      </c>
      <c r="H43">
        <v>0.57220620952710188</v>
      </c>
    </row>
    <row r="44" spans="1:8" x14ac:dyDescent="0.4">
      <c r="A44" t="s">
        <v>49</v>
      </c>
      <c r="B44">
        <v>251828430</v>
      </c>
      <c r="C44">
        <v>8.3103599999999993</v>
      </c>
      <c r="D44">
        <v>6248505300</v>
      </c>
      <c r="E44">
        <v>11.7</v>
      </c>
      <c r="F44">
        <v>0.77281093999999995</v>
      </c>
      <c r="G44">
        <v>52808.152000000002</v>
      </c>
      <c r="H44">
        <v>0.76389986177915381</v>
      </c>
    </row>
    <row r="45" spans="1:8" x14ac:dyDescent="0.4">
      <c r="A45" t="s">
        <v>50</v>
      </c>
      <c r="B45">
        <v>12312490</v>
      </c>
      <c r="C45">
        <v>48.461559999999999</v>
      </c>
      <c r="D45">
        <v>178154300</v>
      </c>
      <c r="E45">
        <v>12.81</v>
      </c>
      <c r="F45">
        <v>0.27352799999999999</v>
      </c>
      <c r="G45">
        <v>9381.3469999999998</v>
      </c>
      <c r="H45">
        <v>0.1243556490048896</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D6F24F-60B6-468B-9057-46EBE59CC8C2}">
  <dimension ref="A1:N31"/>
  <sheetViews>
    <sheetView zoomScale="83" workbookViewId="0">
      <selection activeCell="E31" sqref="E31"/>
    </sheetView>
  </sheetViews>
  <sheetFormatPr defaultRowHeight="14.6" x14ac:dyDescent="0.4"/>
  <cols>
    <col min="9" max="9" width="24.3046875" customWidth="1"/>
    <col min="10" max="10" width="20.765625" customWidth="1"/>
    <col min="11" max="11" width="14.07421875" customWidth="1"/>
    <col min="12" max="12" width="13.84375" customWidth="1"/>
    <col min="13" max="13" width="16.69140625" customWidth="1"/>
    <col min="14" max="14" width="16.4609375" customWidth="1"/>
  </cols>
  <sheetData>
    <row r="1" spans="1:14" x14ac:dyDescent="0.4">
      <c r="A1" s="16" t="s">
        <v>0</v>
      </c>
      <c r="B1" s="16" t="s">
        <v>1</v>
      </c>
      <c r="C1" s="16" t="s">
        <v>2</v>
      </c>
      <c r="D1" s="16" t="s">
        <v>3</v>
      </c>
      <c r="E1" s="16" t="s">
        <v>4</v>
      </c>
      <c r="F1" s="16" t="s">
        <v>5</v>
      </c>
      <c r="G1" s="16" t="s">
        <v>6</v>
      </c>
      <c r="H1" s="16" t="s">
        <v>118</v>
      </c>
      <c r="I1" s="18" t="s">
        <v>124</v>
      </c>
      <c r="J1" s="18" t="s">
        <v>123</v>
      </c>
      <c r="K1" s="18" t="s">
        <v>122</v>
      </c>
      <c r="L1" s="19" t="s">
        <v>121</v>
      </c>
      <c r="M1" s="19" t="s">
        <v>120</v>
      </c>
      <c r="N1" s="19" t="s">
        <v>119</v>
      </c>
    </row>
    <row r="2" spans="1:14" x14ac:dyDescent="0.4">
      <c r="A2" t="s">
        <v>7</v>
      </c>
      <c r="B2">
        <v>41.796131904828158</v>
      </c>
      <c r="C2">
        <v>18.982710000000001</v>
      </c>
      <c r="D2">
        <v>337.12046055377772</v>
      </c>
      <c r="E2">
        <v>5.67</v>
      </c>
      <c r="F2">
        <v>0.49429400000000001</v>
      </c>
      <c r="G2">
        <v>10192.529</v>
      </c>
      <c r="H2">
        <v>0.3291758608525332</v>
      </c>
      <c r="I2" s="11">
        <v>4.7392092018923329</v>
      </c>
      <c r="J2" s="11">
        <v>0</v>
      </c>
      <c r="K2" s="11">
        <v>0</v>
      </c>
      <c r="L2" s="13">
        <v>6.2464791364772498</v>
      </c>
      <c r="M2" s="13">
        <v>0.25322091503819272</v>
      </c>
      <c r="N2" s="13">
        <v>28732.012696923699</v>
      </c>
    </row>
    <row r="3" spans="1:14" x14ac:dyDescent="0.4">
      <c r="A3" t="s">
        <v>11</v>
      </c>
      <c r="B3">
        <v>138.60475043360961</v>
      </c>
      <c r="C3">
        <v>16.49174</v>
      </c>
      <c r="D3">
        <v>537.63680863364812</v>
      </c>
      <c r="E3">
        <v>20.64</v>
      </c>
      <c r="F3">
        <v>0.38143300000000002</v>
      </c>
      <c r="G3">
        <v>18122.863000000001</v>
      </c>
      <c r="H3">
        <v>1</v>
      </c>
      <c r="I3" s="11">
        <v>0</v>
      </c>
      <c r="J3" s="11">
        <v>0</v>
      </c>
      <c r="K3" s="11">
        <v>0</v>
      </c>
      <c r="L3" s="13">
        <v>0</v>
      </c>
      <c r="M3" s="13">
        <v>0</v>
      </c>
      <c r="N3" s="13">
        <v>0</v>
      </c>
    </row>
    <row r="4" spans="1:14" x14ac:dyDescent="0.4">
      <c r="A4" t="s">
        <v>12</v>
      </c>
      <c r="B4">
        <v>303.82165667361829</v>
      </c>
      <c r="C4">
        <v>13.27885</v>
      </c>
      <c r="D4">
        <v>4124.0598931178311</v>
      </c>
      <c r="E4">
        <v>12.69</v>
      </c>
      <c r="F4">
        <v>0.71222556000000004</v>
      </c>
      <c r="G4">
        <v>39160.324000000001</v>
      </c>
      <c r="H4">
        <v>0.46446124696434832</v>
      </c>
      <c r="I4" s="11">
        <v>118.8650617259097</v>
      </c>
      <c r="J4" s="11">
        <v>0</v>
      </c>
      <c r="K4" s="11">
        <v>1603.2500866848741</v>
      </c>
      <c r="L4" s="13">
        <v>1.580593864583351</v>
      </c>
      <c r="M4" s="13">
        <v>7.8451267634248034E-3</v>
      </c>
      <c r="N4" s="13">
        <v>0</v>
      </c>
    </row>
    <row r="5" spans="1:14" x14ac:dyDescent="0.4">
      <c r="A5" t="s">
        <v>13</v>
      </c>
      <c r="B5">
        <v>34.66733336937132</v>
      </c>
      <c r="C5">
        <v>20.41206</v>
      </c>
      <c r="D5">
        <v>535.51546930464713</v>
      </c>
      <c r="E5">
        <v>13.63</v>
      </c>
      <c r="F5">
        <v>0.54433600000000004</v>
      </c>
      <c r="G5">
        <v>16186.409</v>
      </c>
      <c r="H5">
        <v>0.48718650659184082</v>
      </c>
      <c r="I5" s="11">
        <v>0</v>
      </c>
      <c r="J5" s="11">
        <v>3.9577517227303929</v>
      </c>
      <c r="K5" s="11">
        <v>57.073573835440527</v>
      </c>
      <c r="L5" s="13">
        <v>0</v>
      </c>
      <c r="M5" s="13">
        <v>0.18095389873417719</v>
      </c>
      <c r="N5" s="13">
        <v>21536.57412658228</v>
      </c>
    </row>
    <row r="6" spans="1:14" x14ac:dyDescent="0.4">
      <c r="A6" t="s">
        <v>14</v>
      </c>
      <c r="B6">
        <v>4.2449093640460687</v>
      </c>
      <c r="C6">
        <v>7.1536400000000002</v>
      </c>
      <c r="D6">
        <v>85.897101652478725</v>
      </c>
      <c r="E6">
        <v>9.98</v>
      </c>
      <c r="F6">
        <v>0.78090999999999999</v>
      </c>
      <c r="G6">
        <v>43761.527000000002</v>
      </c>
      <c r="H6">
        <v>1</v>
      </c>
      <c r="I6" s="11">
        <v>0</v>
      </c>
      <c r="J6" s="11">
        <v>0</v>
      </c>
      <c r="K6" s="11">
        <v>0</v>
      </c>
      <c r="L6" s="13">
        <v>0</v>
      </c>
      <c r="M6" s="13">
        <v>0</v>
      </c>
      <c r="N6" s="13">
        <v>0</v>
      </c>
    </row>
    <row r="7" spans="1:14" x14ac:dyDescent="0.4">
      <c r="A7" t="s">
        <v>16</v>
      </c>
      <c r="B7">
        <v>36.992607567567568</v>
      </c>
      <c r="C7">
        <v>15.126860000000001</v>
      </c>
      <c r="D7">
        <v>826.37967567567568</v>
      </c>
      <c r="E7">
        <v>4.26</v>
      </c>
      <c r="F7">
        <v>0.68421100000000001</v>
      </c>
      <c r="G7">
        <v>25081.504000000001</v>
      </c>
      <c r="H7">
        <v>0.40034348202503922</v>
      </c>
      <c r="I7" s="11">
        <v>0</v>
      </c>
      <c r="J7" s="11">
        <v>0</v>
      </c>
      <c r="K7" s="11">
        <v>151.54860230713791</v>
      </c>
      <c r="L7" s="13">
        <v>8.9172113554674279</v>
      </c>
      <c r="M7" s="13">
        <v>4.6951739398819532E-2</v>
      </c>
      <c r="N7" s="13">
        <v>12958.984496941701</v>
      </c>
    </row>
    <row r="8" spans="1:14" x14ac:dyDescent="0.4">
      <c r="A8" t="s">
        <v>17</v>
      </c>
      <c r="B8">
        <v>81.664995054903258</v>
      </c>
      <c r="C8">
        <v>17.515899999999998</v>
      </c>
      <c r="D8">
        <v>1519.410899500419</v>
      </c>
      <c r="E8">
        <v>23.92</v>
      </c>
      <c r="F8">
        <v>0.68402399999999997</v>
      </c>
      <c r="G8">
        <v>28437.603999999999</v>
      </c>
      <c r="H8">
        <v>1</v>
      </c>
      <c r="I8" s="11">
        <v>0</v>
      </c>
      <c r="J8" s="11">
        <v>0</v>
      </c>
      <c r="K8" s="11">
        <v>0</v>
      </c>
      <c r="L8" s="13">
        <v>0</v>
      </c>
      <c r="M8" s="13">
        <v>0</v>
      </c>
      <c r="N8" s="13">
        <v>0</v>
      </c>
    </row>
    <row r="9" spans="1:14" x14ac:dyDescent="0.4">
      <c r="A9" t="s">
        <v>20</v>
      </c>
      <c r="B9">
        <v>21.71222175606124</v>
      </c>
      <c r="C9">
        <v>5.8262299999999998</v>
      </c>
      <c r="D9">
        <v>260.7186035655406</v>
      </c>
      <c r="E9">
        <v>14.68</v>
      </c>
      <c r="F9">
        <v>0.71167100000000005</v>
      </c>
      <c r="G9">
        <v>36986.699999999997</v>
      </c>
      <c r="H9">
        <v>1</v>
      </c>
      <c r="I9" s="11">
        <v>0</v>
      </c>
      <c r="J9" s="11">
        <v>0</v>
      </c>
      <c r="K9" s="11">
        <v>0</v>
      </c>
      <c r="L9" s="13">
        <v>0</v>
      </c>
      <c r="M9" s="13">
        <v>0</v>
      </c>
      <c r="N9" s="13">
        <v>0</v>
      </c>
    </row>
    <row r="10" spans="1:14" x14ac:dyDescent="0.4">
      <c r="A10" t="s">
        <v>21</v>
      </c>
      <c r="B10">
        <v>71.585840002175118</v>
      </c>
      <c r="C10">
        <v>12.20689</v>
      </c>
      <c r="D10">
        <v>732.39318826525528</v>
      </c>
      <c r="E10">
        <v>10.43</v>
      </c>
      <c r="F10">
        <v>0.73974150000000005</v>
      </c>
      <c r="G10">
        <v>37077.89</v>
      </c>
      <c r="H10">
        <v>0.50439058160199468</v>
      </c>
      <c r="I10" s="11">
        <v>24.335410239597199</v>
      </c>
      <c r="J10" s="11">
        <v>0</v>
      </c>
      <c r="K10" s="11">
        <v>225.9649736454549</v>
      </c>
      <c r="L10" s="13">
        <v>2.085799679893817</v>
      </c>
      <c r="M10" s="13">
        <v>0</v>
      </c>
      <c r="N10" s="13">
        <v>1426.394931655381</v>
      </c>
    </row>
    <row r="11" spans="1:14" x14ac:dyDescent="0.4">
      <c r="A11" t="s">
        <v>24</v>
      </c>
      <c r="B11">
        <v>34.706987882416243</v>
      </c>
      <c r="C11">
        <v>16.445550000000001</v>
      </c>
      <c r="D11">
        <v>639.53128670703336</v>
      </c>
      <c r="E11">
        <v>8.2899999999999991</v>
      </c>
      <c r="F11">
        <v>0.64623299999999995</v>
      </c>
      <c r="G11">
        <v>22696.203000000001</v>
      </c>
      <c r="H11">
        <v>0.3720786546430041</v>
      </c>
      <c r="I11" s="11">
        <v>0</v>
      </c>
      <c r="J11" s="11">
        <v>0</v>
      </c>
      <c r="K11" s="11">
        <v>81.037003790688601</v>
      </c>
      <c r="L11" s="13">
        <v>4.4744147379611476</v>
      </c>
      <c r="M11" s="13">
        <v>9.0283868286085256E-2</v>
      </c>
      <c r="N11" s="13">
        <v>15633.74757711323</v>
      </c>
    </row>
    <row r="12" spans="1:14" x14ac:dyDescent="0.4">
      <c r="A12" t="s">
        <v>22</v>
      </c>
      <c r="B12">
        <v>26.057592539454809</v>
      </c>
      <c r="C12">
        <v>22.569389999999999</v>
      </c>
      <c r="D12">
        <v>131.88573888091821</v>
      </c>
      <c r="E12">
        <v>8.86</v>
      </c>
      <c r="F12">
        <v>0.55564499999999994</v>
      </c>
      <c r="G12">
        <v>10629.593999999999</v>
      </c>
      <c r="H12">
        <v>0.35394476602538227</v>
      </c>
      <c r="I12" s="11">
        <v>5.6535083003873234</v>
      </c>
      <c r="J12" s="11">
        <v>1.558307462885604</v>
      </c>
      <c r="K12" s="11">
        <v>0</v>
      </c>
      <c r="L12" s="13">
        <v>1.870000000000001</v>
      </c>
      <c r="M12" s="13">
        <v>0.20725900000000011</v>
      </c>
      <c r="N12" s="13">
        <v>29126.933000000001</v>
      </c>
    </row>
    <row r="13" spans="1:14" x14ac:dyDescent="0.4">
      <c r="A13" t="s">
        <v>26</v>
      </c>
      <c r="B13">
        <v>3.5694401941747569</v>
      </c>
      <c r="C13">
        <v>6.4300100000000002</v>
      </c>
      <c r="D13">
        <v>46.680266990291273</v>
      </c>
      <c r="E13">
        <v>10.73</v>
      </c>
      <c r="F13">
        <v>0.76290400000000003</v>
      </c>
      <c r="G13">
        <v>39756.527000000002</v>
      </c>
      <c r="H13">
        <v>1</v>
      </c>
      <c r="I13" s="11">
        <v>0</v>
      </c>
      <c r="J13" s="11">
        <v>0</v>
      </c>
      <c r="K13" s="11">
        <v>0</v>
      </c>
      <c r="L13" s="13">
        <v>0</v>
      </c>
      <c r="M13" s="13">
        <v>0</v>
      </c>
      <c r="N13" s="13">
        <v>0</v>
      </c>
    </row>
    <row r="14" spans="1:14" x14ac:dyDescent="0.4">
      <c r="A14" t="s">
        <v>28</v>
      </c>
      <c r="B14">
        <v>126.48400577756379</v>
      </c>
      <c r="C14">
        <v>21.654979999999998</v>
      </c>
      <c r="D14">
        <v>3715.7504092441018</v>
      </c>
      <c r="E14">
        <v>12.78</v>
      </c>
      <c r="F14">
        <v>0.73618799999999995</v>
      </c>
      <c r="G14">
        <v>31050.407999999999</v>
      </c>
      <c r="H14">
        <v>0.28239058230125369</v>
      </c>
      <c r="I14" s="11">
        <v>22.687702874709029</v>
      </c>
      <c r="J14" s="11">
        <v>0</v>
      </c>
      <c r="K14" s="11">
        <v>891.00005741399332</v>
      </c>
      <c r="L14" s="13">
        <v>9.7700700720313449E-3</v>
      </c>
      <c r="M14" s="13">
        <v>0</v>
      </c>
      <c r="N14" s="13">
        <v>7261.7628597778748</v>
      </c>
    </row>
    <row r="15" spans="1:14" x14ac:dyDescent="0.4">
      <c r="A15" t="s">
        <v>29</v>
      </c>
      <c r="B15">
        <v>54.583676793357903</v>
      </c>
      <c r="C15">
        <v>17.27739</v>
      </c>
      <c r="D15">
        <v>1317.198425546143</v>
      </c>
      <c r="E15">
        <v>14.4</v>
      </c>
      <c r="F15">
        <v>0.70633299999999999</v>
      </c>
      <c r="G15">
        <v>33620.741999999998</v>
      </c>
      <c r="H15">
        <v>0.37421720859262769</v>
      </c>
      <c r="I15" s="11">
        <v>0</v>
      </c>
      <c r="J15" s="11">
        <v>0.59646706262947102</v>
      </c>
      <c r="K15" s="11">
        <v>247.37205218749031</v>
      </c>
      <c r="L15" s="13">
        <v>0</v>
      </c>
      <c r="M15" s="13">
        <v>8.9697063291140147E-3</v>
      </c>
      <c r="N15" s="13">
        <v>3562.3001670886042</v>
      </c>
    </row>
    <row r="16" spans="1:14" x14ac:dyDescent="0.4">
      <c r="A16" t="s">
        <v>30</v>
      </c>
      <c r="B16">
        <v>4.0633185321100918</v>
      </c>
      <c r="C16">
        <v>30.831779999999998</v>
      </c>
      <c r="D16">
        <v>135.5318825688073</v>
      </c>
      <c r="E16">
        <v>10.28</v>
      </c>
      <c r="F16">
        <v>0.37193799999999999</v>
      </c>
      <c r="G16">
        <v>23782.562000000002</v>
      </c>
      <c r="H16">
        <v>0.87845443717185956</v>
      </c>
      <c r="I16" s="11">
        <v>0</v>
      </c>
      <c r="J16" s="11">
        <v>20.654303946906591</v>
      </c>
      <c r="K16" s="11">
        <v>72.378316630532964</v>
      </c>
      <c r="L16" s="13">
        <v>0.45000000000000112</v>
      </c>
      <c r="M16" s="13">
        <v>0.39096599999999998</v>
      </c>
      <c r="N16" s="13">
        <v>15973.965</v>
      </c>
    </row>
    <row r="17" spans="1:14" x14ac:dyDescent="0.4">
      <c r="A17" t="s">
        <v>33</v>
      </c>
      <c r="B17">
        <v>96.472281776416537</v>
      </c>
      <c r="C17">
        <v>11.437580000000001</v>
      </c>
      <c r="D17">
        <v>388.47010719754979</v>
      </c>
      <c r="E17">
        <v>17.21</v>
      </c>
      <c r="F17">
        <v>0.66436799999999996</v>
      </c>
      <c r="G17">
        <v>23968.848000000002</v>
      </c>
      <c r="H17">
        <v>1</v>
      </c>
      <c r="I17" s="11">
        <v>0</v>
      </c>
      <c r="J17" s="11">
        <v>0</v>
      </c>
      <c r="K17" s="11">
        <v>0</v>
      </c>
      <c r="L17" s="13">
        <v>0</v>
      </c>
      <c r="M17" s="13">
        <v>0</v>
      </c>
      <c r="N17" s="13">
        <v>0</v>
      </c>
    </row>
    <row r="18" spans="1:14" x14ac:dyDescent="0.4">
      <c r="A18" t="s">
        <v>34</v>
      </c>
      <c r="B18">
        <v>155.55177215189869</v>
      </c>
      <c r="C18">
        <v>13.853</v>
      </c>
      <c r="D18">
        <v>5989.7974683544307</v>
      </c>
      <c r="E18">
        <v>7.45</v>
      </c>
      <c r="F18">
        <v>0.67796100000000004</v>
      </c>
      <c r="G18">
        <v>28906.48</v>
      </c>
      <c r="H18">
        <v>0.42057532664404818</v>
      </c>
      <c r="I18" s="11">
        <v>43.709015626784137</v>
      </c>
      <c r="J18" s="11">
        <v>0</v>
      </c>
      <c r="K18" s="11">
        <v>2258.4424232193169</v>
      </c>
      <c r="L18" s="13">
        <v>7.23</v>
      </c>
      <c r="M18" s="13">
        <v>3.3710000000000018E-2</v>
      </c>
      <c r="N18" s="13">
        <v>8080.2199999999984</v>
      </c>
    </row>
    <row r="19" spans="1:14" x14ac:dyDescent="0.4">
      <c r="A19" t="s">
        <v>35</v>
      </c>
      <c r="B19">
        <v>306.23328554360808</v>
      </c>
      <c r="C19">
        <v>12.585039999999999</v>
      </c>
      <c r="D19">
        <v>5006.4547192353648</v>
      </c>
      <c r="E19">
        <v>10.8</v>
      </c>
      <c r="F19">
        <v>0.74280800000000002</v>
      </c>
      <c r="G19">
        <v>44912.663999999997</v>
      </c>
      <c r="H19">
        <v>0.56200099466755349</v>
      </c>
      <c r="I19" s="11">
        <v>148.67236546241489</v>
      </c>
      <c r="J19" s="11">
        <v>0</v>
      </c>
      <c r="K19" s="11">
        <v>2368.6389822271431</v>
      </c>
      <c r="L19" s="13">
        <v>2.3441469469922538</v>
      </c>
      <c r="M19" s="13">
        <v>0</v>
      </c>
      <c r="N19" s="13">
        <v>0</v>
      </c>
    </row>
    <row r="20" spans="1:14" x14ac:dyDescent="0.4">
      <c r="A20" t="s">
        <v>38</v>
      </c>
      <c r="B20">
        <v>36.401881673756407</v>
      </c>
      <c r="C20">
        <v>8.6753400000000003</v>
      </c>
      <c r="D20">
        <v>687.49166594322423</v>
      </c>
      <c r="E20">
        <v>12.14</v>
      </c>
      <c r="F20">
        <v>0.62483999999999995</v>
      </c>
      <c r="G20">
        <v>24983.701000000001</v>
      </c>
      <c r="H20">
        <v>0.67158520588242065</v>
      </c>
      <c r="I20" s="11">
        <v>2.7347434423159669</v>
      </c>
      <c r="J20" s="11">
        <v>0</v>
      </c>
      <c r="K20" s="11">
        <v>200.99062844938811</v>
      </c>
      <c r="L20" s="13">
        <v>2.5399999999999991</v>
      </c>
      <c r="M20" s="13">
        <v>8.6831000000000103E-2</v>
      </c>
      <c r="N20" s="13">
        <v>12002.999</v>
      </c>
    </row>
    <row r="21" spans="1:14" x14ac:dyDescent="0.4">
      <c r="A21" t="s">
        <v>40</v>
      </c>
      <c r="B21">
        <v>39.169640334919038</v>
      </c>
      <c r="C21">
        <v>25.332979999999999</v>
      </c>
      <c r="D21">
        <v>512.53862755511364</v>
      </c>
      <c r="E21">
        <v>14.77</v>
      </c>
      <c r="F21">
        <v>0.47647099999999998</v>
      </c>
      <c r="G21">
        <v>13013.853999999999</v>
      </c>
      <c r="H21">
        <v>0.56922088509105417</v>
      </c>
      <c r="I21" s="11">
        <v>0</v>
      </c>
      <c r="J21" s="11">
        <v>8.4799708755160523</v>
      </c>
      <c r="K21" s="11">
        <v>18.76909775926578</v>
      </c>
      <c r="L21" s="13">
        <v>0</v>
      </c>
      <c r="M21" s="13">
        <v>0.2349307110389611</v>
      </c>
      <c r="N21" s="13">
        <v>23889.575584415579</v>
      </c>
    </row>
    <row r="22" spans="1:14" x14ac:dyDescent="0.4">
      <c r="A22" t="s">
        <v>41</v>
      </c>
      <c r="B22">
        <v>66.024482512491076</v>
      </c>
      <c r="C22">
        <v>19.049779999999998</v>
      </c>
      <c r="D22">
        <v>1275.8487610890179</v>
      </c>
      <c r="E22">
        <v>19.59</v>
      </c>
      <c r="F22">
        <v>0.65545699999999996</v>
      </c>
      <c r="G22">
        <v>24647.719000000001</v>
      </c>
      <c r="H22">
        <v>0.81136937430989342</v>
      </c>
      <c r="I22" s="11">
        <v>0</v>
      </c>
      <c r="J22" s="11">
        <v>3.418459497090041</v>
      </c>
      <c r="K22" s="11">
        <v>105.615447580468</v>
      </c>
      <c r="L22" s="13">
        <v>0</v>
      </c>
      <c r="M22" s="13">
        <v>4.1522791125541192E-2</v>
      </c>
      <c r="N22" s="13">
        <v>7796.117216450215</v>
      </c>
    </row>
    <row r="23" spans="1:14" x14ac:dyDescent="0.4">
      <c r="A23" t="s">
        <v>43</v>
      </c>
      <c r="B23">
        <v>41.927529988340609</v>
      </c>
      <c r="C23">
        <v>11.11022</v>
      </c>
      <c r="D23">
        <v>640.45511135703418</v>
      </c>
      <c r="E23">
        <v>11.29</v>
      </c>
      <c r="F23">
        <v>0.66597989999999996</v>
      </c>
      <c r="G23">
        <v>32057.098000000002</v>
      </c>
      <c r="H23">
        <v>0.5244027571011195</v>
      </c>
      <c r="I23" s="11">
        <v>0.27469056826443961</v>
      </c>
      <c r="J23" s="11">
        <v>0</v>
      </c>
      <c r="K23" s="11">
        <v>75.13782262959262</v>
      </c>
      <c r="L23" s="13">
        <v>3.390000000000001</v>
      </c>
      <c r="M23" s="13">
        <v>4.5691100000000102E-2</v>
      </c>
      <c r="N23" s="13">
        <v>4929.6019999999953</v>
      </c>
    </row>
    <row r="24" spans="1:14" x14ac:dyDescent="0.4">
      <c r="A24" t="s">
        <v>48</v>
      </c>
      <c r="B24">
        <v>125.1547227125323</v>
      </c>
      <c r="C24">
        <v>11.082789999999999</v>
      </c>
      <c r="D24">
        <v>2122.9678584622961</v>
      </c>
      <c r="E24">
        <v>9.2899999999999991</v>
      </c>
      <c r="F24">
        <v>0.78159500000000004</v>
      </c>
      <c r="G24">
        <v>37101.226999999999</v>
      </c>
      <c r="H24">
        <v>1</v>
      </c>
      <c r="I24" s="11">
        <v>0</v>
      </c>
      <c r="J24" s="11">
        <v>0</v>
      </c>
      <c r="K24" s="11">
        <v>0</v>
      </c>
      <c r="L24" s="13">
        <v>0</v>
      </c>
      <c r="M24" s="13">
        <v>0</v>
      </c>
      <c r="N24" s="13">
        <v>0</v>
      </c>
    </row>
    <row r="25" spans="1:14" x14ac:dyDescent="0.4">
      <c r="A25" t="s">
        <v>49</v>
      </c>
      <c r="B25">
        <v>25.614420368793809</v>
      </c>
      <c r="C25">
        <v>8.3103599999999993</v>
      </c>
      <c r="D25">
        <v>635.55906468080696</v>
      </c>
      <c r="E25">
        <v>11.7</v>
      </c>
      <c r="F25">
        <v>0.77281093999999995</v>
      </c>
      <c r="G25">
        <v>52808.152000000002</v>
      </c>
      <c r="H25">
        <v>1</v>
      </c>
      <c r="I25" s="11">
        <v>0</v>
      </c>
      <c r="J25" s="11">
        <v>0</v>
      </c>
      <c r="K25" s="11">
        <v>0</v>
      </c>
      <c r="L25" s="13">
        <v>0</v>
      </c>
      <c r="M25" s="13">
        <v>0</v>
      </c>
      <c r="N25" s="13">
        <v>0</v>
      </c>
    </row>
    <row r="26" spans="1:14" x14ac:dyDescent="0.4">
      <c r="A26" t="s">
        <v>50</v>
      </c>
      <c r="B26">
        <v>27.52009387572642</v>
      </c>
      <c r="C26">
        <v>48.461559999999999</v>
      </c>
      <c r="D26">
        <v>398.19915064818952</v>
      </c>
      <c r="E26">
        <v>12.81</v>
      </c>
      <c r="F26">
        <v>0.27352799999999999</v>
      </c>
      <c r="G26">
        <v>9381.3469999999998</v>
      </c>
      <c r="H26">
        <v>0.47685547535836131</v>
      </c>
      <c r="I26" s="11">
        <v>0</v>
      </c>
      <c r="J26" s="11">
        <v>16.997090078509011</v>
      </c>
      <c r="K26" s="11">
        <v>30.49438332326616</v>
      </c>
      <c r="L26" s="13">
        <v>0</v>
      </c>
      <c r="M26" s="13">
        <v>0.46239761012658231</v>
      </c>
      <c r="N26" s="13">
        <v>28916.63818734177</v>
      </c>
    </row>
    <row r="28" spans="1:14" x14ac:dyDescent="0.4">
      <c r="G28" s="23"/>
      <c r="H28" s="23"/>
    </row>
    <row r="29" spans="1:14" x14ac:dyDescent="0.4">
      <c r="G29" s="20"/>
      <c r="H29" s="20" t="s">
        <v>150</v>
      </c>
      <c r="I29" s="21" t="s">
        <v>124</v>
      </c>
      <c r="J29" s="21" t="s">
        <v>123</v>
      </c>
      <c r="K29" s="21" t="s">
        <v>122</v>
      </c>
      <c r="L29" s="21" t="s">
        <v>121</v>
      </c>
      <c r="M29" s="21" t="s">
        <v>120</v>
      </c>
      <c r="N29" s="21" t="s">
        <v>119</v>
      </c>
    </row>
    <row r="30" spans="1:14" x14ac:dyDescent="0.4">
      <c r="G30" s="23" t="s">
        <v>11</v>
      </c>
      <c r="H30" s="23">
        <v>1</v>
      </c>
      <c r="I30">
        <v>0</v>
      </c>
      <c r="J30">
        <v>0</v>
      </c>
      <c r="K30">
        <v>0</v>
      </c>
      <c r="L30">
        <v>0</v>
      </c>
      <c r="M30">
        <v>0</v>
      </c>
      <c r="N30">
        <v>0</v>
      </c>
    </row>
    <row r="31" spans="1:14" x14ac:dyDescent="0.4">
      <c r="G31" s="20" t="s">
        <v>12</v>
      </c>
      <c r="H31" s="20">
        <v>0.46446124696434832</v>
      </c>
      <c r="I31" s="20">
        <v>118.8650617259097</v>
      </c>
      <c r="J31" s="20">
        <v>0</v>
      </c>
      <c r="K31" s="20">
        <v>1603.2500866848741</v>
      </c>
      <c r="L31" s="20">
        <v>1.580593864583351</v>
      </c>
      <c r="M31" s="20">
        <v>7.8451267634248034E-3</v>
      </c>
      <c r="N31" s="20">
        <v>0</v>
      </c>
    </row>
  </sheetData>
  <pageMargins left="0.75" right="0.75" top="1" bottom="1" header="0.5" footer="0.5"/>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FB30F2-692D-480B-85F4-C7A63897650E}">
  <dimension ref="A1:Z26"/>
  <sheetViews>
    <sheetView zoomScale="55" workbookViewId="0">
      <selection activeCell="H25" sqref="H25"/>
    </sheetView>
  </sheetViews>
  <sheetFormatPr defaultRowHeight="14.6" x14ac:dyDescent="0.4"/>
  <cols>
    <col min="3" max="3" width="19.4609375" customWidth="1"/>
    <col min="8" max="8" width="21.3046875" customWidth="1"/>
    <col min="9" max="9" width="17.53515625" customWidth="1"/>
    <col min="13" max="13" width="20" customWidth="1"/>
    <col min="25" max="25" width="19.84375" customWidth="1"/>
  </cols>
  <sheetData>
    <row r="1" spans="1:26" x14ac:dyDescent="0.4">
      <c r="A1" s="16" t="s">
        <v>0</v>
      </c>
      <c r="B1" s="16" t="s">
        <v>149</v>
      </c>
      <c r="C1" s="16" t="s">
        <v>148</v>
      </c>
      <c r="D1" s="16" t="s">
        <v>147</v>
      </c>
      <c r="E1" s="16" t="s">
        <v>146</v>
      </c>
      <c r="F1" s="16" t="s">
        <v>145</v>
      </c>
      <c r="G1" s="16" t="s">
        <v>144</v>
      </c>
      <c r="H1" s="16" t="s">
        <v>143</v>
      </c>
      <c r="I1" s="16" t="s">
        <v>142</v>
      </c>
      <c r="J1" s="16" t="s">
        <v>141</v>
      </c>
      <c r="K1" s="16" t="s">
        <v>140</v>
      </c>
      <c r="L1" s="16" t="s">
        <v>139</v>
      </c>
      <c r="M1" s="16" t="s">
        <v>138</v>
      </c>
      <c r="N1" s="16" t="s">
        <v>137</v>
      </c>
      <c r="O1" s="16" t="s">
        <v>136</v>
      </c>
      <c r="P1" s="16" t="s">
        <v>135</v>
      </c>
      <c r="Q1" s="16" t="s">
        <v>134</v>
      </c>
      <c r="R1" s="16" t="s">
        <v>133</v>
      </c>
      <c r="S1" s="16" t="s">
        <v>132</v>
      </c>
      <c r="T1" s="16" t="s">
        <v>131</v>
      </c>
      <c r="U1" s="16" t="s">
        <v>130</v>
      </c>
      <c r="V1" s="16" t="s">
        <v>129</v>
      </c>
      <c r="W1" s="16" t="s">
        <v>128</v>
      </c>
      <c r="X1" s="16" t="s">
        <v>127</v>
      </c>
      <c r="Y1" s="16" t="s">
        <v>126</v>
      </c>
      <c r="Z1" s="16" t="s">
        <v>125</v>
      </c>
    </row>
    <row r="2" spans="1:26" x14ac:dyDescent="0.4">
      <c r="A2" t="s">
        <v>7</v>
      </c>
      <c r="B2">
        <v>0</v>
      </c>
      <c r="C2">
        <v>0</v>
      </c>
      <c r="D2">
        <v>0</v>
      </c>
      <c r="E2">
        <v>0</v>
      </c>
      <c r="F2">
        <v>0</v>
      </c>
      <c r="G2">
        <v>0</v>
      </c>
      <c r="H2">
        <v>0</v>
      </c>
      <c r="I2">
        <v>0.30037446493094933</v>
      </c>
      <c r="J2">
        <v>0</v>
      </c>
      <c r="K2">
        <v>0</v>
      </c>
      <c r="L2">
        <v>0</v>
      </c>
      <c r="M2">
        <v>0.69962553506905067</v>
      </c>
      <c r="N2">
        <v>0</v>
      </c>
      <c r="O2">
        <v>0</v>
      </c>
      <c r="P2">
        <v>0</v>
      </c>
      <c r="Q2">
        <v>0</v>
      </c>
      <c r="R2">
        <v>0</v>
      </c>
      <c r="S2">
        <v>0</v>
      </c>
      <c r="T2">
        <v>0</v>
      </c>
      <c r="U2">
        <v>0</v>
      </c>
      <c r="V2">
        <v>0</v>
      </c>
      <c r="W2">
        <v>0</v>
      </c>
      <c r="X2">
        <v>0</v>
      </c>
      <c r="Y2">
        <v>0</v>
      </c>
      <c r="Z2">
        <v>0</v>
      </c>
    </row>
    <row r="3" spans="1:26" x14ac:dyDescent="0.4">
      <c r="A3" t="s">
        <v>11</v>
      </c>
      <c r="B3">
        <v>0</v>
      </c>
      <c r="C3">
        <v>1</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row>
    <row r="4" spans="1:26" x14ac:dyDescent="0.4">
      <c r="A4" s="13" t="s">
        <v>12</v>
      </c>
      <c r="B4" s="13">
        <v>0</v>
      </c>
      <c r="C4" s="13">
        <v>0</v>
      </c>
      <c r="D4" s="13">
        <v>0</v>
      </c>
      <c r="E4" s="13">
        <v>0</v>
      </c>
      <c r="F4" s="13">
        <v>0</v>
      </c>
      <c r="G4" s="13">
        <v>0</v>
      </c>
      <c r="H4" s="13">
        <v>0</v>
      </c>
      <c r="I4" s="13">
        <v>0.86261539079978233</v>
      </c>
      <c r="J4" s="13">
        <v>0</v>
      </c>
      <c r="K4" s="13">
        <v>0</v>
      </c>
      <c r="L4" s="13">
        <v>0</v>
      </c>
      <c r="M4" s="13">
        <v>0</v>
      </c>
      <c r="N4" s="13">
        <v>0</v>
      </c>
      <c r="O4" s="13">
        <v>0</v>
      </c>
      <c r="P4" s="13">
        <v>0</v>
      </c>
      <c r="Q4" s="13">
        <v>0</v>
      </c>
      <c r="R4" s="13">
        <v>0</v>
      </c>
      <c r="S4" s="13">
        <v>0</v>
      </c>
      <c r="T4" s="13">
        <v>0</v>
      </c>
      <c r="U4" s="13">
        <v>0</v>
      </c>
      <c r="V4" s="13">
        <v>0</v>
      </c>
      <c r="W4" s="13">
        <v>0</v>
      </c>
      <c r="X4" s="13">
        <v>0</v>
      </c>
      <c r="Y4" s="13">
        <v>0.13738460920021769</v>
      </c>
      <c r="Z4" s="13">
        <v>0</v>
      </c>
    </row>
    <row r="5" spans="1:26" x14ac:dyDescent="0.4">
      <c r="A5" t="s">
        <v>13</v>
      </c>
      <c r="B5">
        <v>0</v>
      </c>
      <c r="C5">
        <v>0</v>
      </c>
      <c r="D5">
        <v>0</v>
      </c>
      <c r="E5">
        <v>0</v>
      </c>
      <c r="F5">
        <v>0</v>
      </c>
      <c r="G5">
        <v>0</v>
      </c>
      <c r="H5">
        <v>0</v>
      </c>
      <c r="I5">
        <v>0.73417721518987367</v>
      </c>
      <c r="J5">
        <v>0</v>
      </c>
      <c r="K5">
        <v>0</v>
      </c>
      <c r="L5">
        <v>0</v>
      </c>
      <c r="M5">
        <v>0.26582278481012628</v>
      </c>
      <c r="N5">
        <v>0</v>
      </c>
      <c r="O5">
        <v>0</v>
      </c>
      <c r="P5">
        <v>0</v>
      </c>
      <c r="Q5">
        <v>0</v>
      </c>
      <c r="R5">
        <v>0</v>
      </c>
      <c r="S5">
        <v>0</v>
      </c>
      <c r="T5">
        <v>0</v>
      </c>
      <c r="U5">
        <v>0</v>
      </c>
      <c r="V5">
        <v>0</v>
      </c>
      <c r="W5">
        <v>0</v>
      </c>
      <c r="X5">
        <v>0</v>
      </c>
      <c r="Y5">
        <v>0</v>
      </c>
      <c r="Z5">
        <v>0</v>
      </c>
    </row>
    <row r="6" spans="1:26" x14ac:dyDescent="0.4">
      <c r="A6" t="s">
        <v>14</v>
      </c>
      <c r="B6">
        <v>0</v>
      </c>
      <c r="C6">
        <v>0</v>
      </c>
      <c r="D6">
        <v>0</v>
      </c>
      <c r="E6">
        <v>0</v>
      </c>
      <c r="F6">
        <v>1</v>
      </c>
      <c r="G6">
        <v>0</v>
      </c>
      <c r="H6">
        <v>0</v>
      </c>
      <c r="I6">
        <v>0</v>
      </c>
      <c r="J6">
        <v>0</v>
      </c>
      <c r="K6">
        <v>0</v>
      </c>
      <c r="L6">
        <v>0</v>
      </c>
      <c r="M6">
        <v>0</v>
      </c>
      <c r="N6">
        <v>0</v>
      </c>
      <c r="O6">
        <v>0</v>
      </c>
      <c r="P6">
        <v>0</v>
      </c>
      <c r="Q6">
        <v>0</v>
      </c>
      <c r="R6">
        <v>0</v>
      </c>
      <c r="S6">
        <v>0</v>
      </c>
      <c r="T6">
        <v>0</v>
      </c>
      <c r="U6">
        <v>0</v>
      </c>
      <c r="V6">
        <v>0</v>
      </c>
      <c r="W6">
        <v>0</v>
      </c>
      <c r="X6">
        <v>0</v>
      </c>
      <c r="Y6">
        <v>0</v>
      </c>
      <c r="Z6">
        <v>0</v>
      </c>
    </row>
    <row r="7" spans="1:26" x14ac:dyDescent="0.4">
      <c r="A7" t="s">
        <v>16</v>
      </c>
      <c r="B7">
        <v>0</v>
      </c>
      <c r="C7">
        <v>0</v>
      </c>
      <c r="D7">
        <v>0</v>
      </c>
      <c r="E7">
        <v>0</v>
      </c>
      <c r="F7">
        <v>0</v>
      </c>
      <c r="G7">
        <v>0</v>
      </c>
      <c r="H7">
        <v>0</v>
      </c>
      <c r="I7">
        <v>0.61954717859934871</v>
      </c>
      <c r="J7">
        <v>0</v>
      </c>
      <c r="K7">
        <v>0</v>
      </c>
      <c r="L7">
        <v>0</v>
      </c>
      <c r="M7">
        <v>0.38045282140065118</v>
      </c>
      <c r="N7">
        <v>0</v>
      </c>
      <c r="O7">
        <v>0</v>
      </c>
      <c r="P7">
        <v>0</v>
      </c>
      <c r="Q7">
        <v>0</v>
      </c>
      <c r="R7">
        <v>0</v>
      </c>
      <c r="S7">
        <v>0</v>
      </c>
      <c r="T7">
        <v>0</v>
      </c>
      <c r="U7">
        <v>0</v>
      </c>
      <c r="V7">
        <v>0</v>
      </c>
      <c r="W7">
        <v>0</v>
      </c>
      <c r="X7">
        <v>0</v>
      </c>
      <c r="Y7">
        <v>0</v>
      </c>
      <c r="Z7">
        <v>0</v>
      </c>
    </row>
    <row r="8" spans="1:26" x14ac:dyDescent="0.4">
      <c r="A8" t="s">
        <v>17</v>
      </c>
      <c r="B8">
        <v>0</v>
      </c>
      <c r="C8">
        <v>0</v>
      </c>
      <c r="D8">
        <v>0</v>
      </c>
      <c r="E8">
        <v>0</v>
      </c>
      <c r="F8">
        <v>0</v>
      </c>
      <c r="G8">
        <v>0</v>
      </c>
      <c r="H8">
        <v>1</v>
      </c>
      <c r="I8">
        <v>0</v>
      </c>
      <c r="J8">
        <v>0</v>
      </c>
      <c r="K8">
        <v>0</v>
      </c>
      <c r="L8">
        <v>0</v>
      </c>
      <c r="M8">
        <v>0</v>
      </c>
      <c r="N8">
        <v>0</v>
      </c>
      <c r="O8">
        <v>0</v>
      </c>
      <c r="P8">
        <v>0</v>
      </c>
      <c r="Q8">
        <v>0</v>
      </c>
      <c r="R8">
        <v>0</v>
      </c>
      <c r="S8">
        <v>0</v>
      </c>
      <c r="T8">
        <v>0</v>
      </c>
      <c r="U8">
        <v>0</v>
      </c>
      <c r="V8">
        <v>0</v>
      </c>
      <c r="W8">
        <v>0</v>
      </c>
      <c r="X8">
        <v>0</v>
      </c>
      <c r="Y8">
        <v>0</v>
      </c>
      <c r="Z8">
        <v>0</v>
      </c>
    </row>
    <row r="9" spans="1:26" x14ac:dyDescent="0.4">
      <c r="A9" t="s">
        <v>20</v>
      </c>
      <c r="B9">
        <v>0</v>
      </c>
      <c r="C9">
        <v>0</v>
      </c>
      <c r="D9">
        <v>0</v>
      </c>
      <c r="E9">
        <v>0</v>
      </c>
      <c r="F9">
        <v>0</v>
      </c>
      <c r="G9">
        <v>0</v>
      </c>
      <c r="H9">
        <v>0</v>
      </c>
      <c r="I9">
        <v>1</v>
      </c>
      <c r="J9">
        <v>0</v>
      </c>
      <c r="K9">
        <v>0</v>
      </c>
      <c r="L9">
        <v>0</v>
      </c>
      <c r="M9">
        <v>0</v>
      </c>
      <c r="N9">
        <v>0</v>
      </c>
      <c r="O9">
        <v>0</v>
      </c>
      <c r="P9">
        <v>0</v>
      </c>
      <c r="Q9">
        <v>0</v>
      </c>
      <c r="R9">
        <v>0</v>
      </c>
      <c r="S9">
        <v>0</v>
      </c>
      <c r="T9">
        <v>0</v>
      </c>
      <c r="U9">
        <v>0</v>
      </c>
      <c r="V9">
        <v>0</v>
      </c>
      <c r="W9">
        <v>0</v>
      </c>
      <c r="X9">
        <v>0</v>
      </c>
      <c r="Y9">
        <v>0</v>
      </c>
      <c r="Z9">
        <v>0</v>
      </c>
    </row>
    <row r="10" spans="1:26" x14ac:dyDescent="0.4">
      <c r="A10" t="s">
        <v>21</v>
      </c>
      <c r="B10">
        <v>0</v>
      </c>
      <c r="C10">
        <v>0</v>
      </c>
      <c r="D10">
        <v>0</v>
      </c>
      <c r="E10">
        <v>0</v>
      </c>
      <c r="F10">
        <v>0</v>
      </c>
      <c r="G10">
        <v>0</v>
      </c>
      <c r="H10">
        <v>0</v>
      </c>
      <c r="I10">
        <v>0.4521011847832449</v>
      </c>
      <c r="J10">
        <v>0</v>
      </c>
      <c r="K10">
        <v>0</v>
      </c>
      <c r="L10">
        <v>0</v>
      </c>
      <c r="M10">
        <v>0.5478988152167551</v>
      </c>
      <c r="N10">
        <v>0</v>
      </c>
      <c r="O10">
        <v>0</v>
      </c>
      <c r="P10">
        <v>0</v>
      </c>
      <c r="Q10">
        <v>0</v>
      </c>
      <c r="R10">
        <v>0</v>
      </c>
      <c r="S10">
        <v>0</v>
      </c>
      <c r="T10">
        <v>0</v>
      </c>
      <c r="U10">
        <v>0</v>
      </c>
      <c r="V10">
        <v>0</v>
      </c>
      <c r="W10">
        <v>0</v>
      </c>
      <c r="X10">
        <v>0</v>
      </c>
      <c r="Y10">
        <v>0</v>
      </c>
      <c r="Z10">
        <v>0</v>
      </c>
    </row>
    <row r="11" spans="1:26" x14ac:dyDescent="0.4">
      <c r="A11" t="s">
        <v>24</v>
      </c>
      <c r="B11">
        <v>0</v>
      </c>
      <c r="C11">
        <v>0</v>
      </c>
      <c r="D11">
        <v>0</v>
      </c>
      <c r="E11">
        <v>0</v>
      </c>
      <c r="F11">
        <v>0</v>
      </c>
      <c r="G11">
        <v>0</v>
      </c>
      <c r="H11">
        <v>0</v>
      </c>
      <c r="I11">
        <v>0.51504170581294861</v>
      </c>
      <c r="J11">
        <v>0</v>
      </c>
      <c r="K11">
        <v>0</v>
      </c>
      <c r="L11">
        <v>0</v>
      </c>
      <c r="M11">
        <v>0.48495829418705128</v>
      </c>
      <c r="N11">
        <v>0</v>
      </c>
      <c r="O11">
        <v>0</v>
      </c>
      <c r="P11">
        <v>0</v>
      </c>
      <c r="Q11">
        <v>0</v>
      </c>
      <c r="R11">
        <v>0</v>
      </c>
      <c r="S11">
        <v>0</v>
      </c>
      <c r="T11">
        <v>0</v>
      </c>
      <c r="U11">
        <v>0</v>
      </c>
      <c r="V11">
        <v>0</v>
      </c>
      <c r="W11">
        <v>0</v>
      </c>
      <c r="X11">
        <v>0</v>
      </c>
      <c r="Y11">
        <v>0</v>
      </c>
      <c r="Z11">
        <v>0</v>
      </c>
    </row>
    <row r="12" spans="1:26" x14ac:dyDescent="0.4">
      <c r="A12" t="s">
        <v>22</v>
      </c>
      <c r="B12">
        <v>0</v>
      </c>
      <c r="C12">
        <v>0</v>
      </c>
      <c r="D12">
        <v>0</v>
      </c>
      <c r="E12">
        <v>0</v>
      </c>
      <c r="F12">
        <v>0</v>
      </c>
      <c r="G12">
        <v>0</v>
      </c>
      <c r="H12">
        <v>0</v>
      </c>
      <c r="I12">
        <v>0</v>
      </c>
      <c r="J12">
        <v>0</v>
      </c>
      <c r="K12">
        <v>0</v>
      </c>
      <c r="L12">
        <v>0</v>
      </c>
      <c r="M12">
        <v>1</v>
      </c>
      <c r="N12">
        <v>0</v>
      </c>
      <c r="O12">
        <v>0</v>
      </c>
      <c r="P12">
        <v>0</v>
      </c>
      <c r="Q12">
        <v>0</v>
      </c>
      <c r="R12">
        <v>0</v>
      </c>
      <c r="S12">
        <v>0</v>
      </c>
      <c r="T12">
        <v>0</v>
      </c>
      <c r="U12">
        <v>0</v>
      </c>
      <c r="V12">
        <v>0</v>
      </c>
      <c r="W12">
        <v>0</v>
      </c>
      <c r="X12">
        <v>0</v>
      </c>
      <c r="Y12">
        <v>0</v>
      </c>
      <c r="Z12">
        <v>0</v>
      </c>
    </row>
    <row r="13" spans="1:26" x14ac:dyDescent="0.4">
      <c r="A13" t="s">
        <v>26</v>
      </c>
      <c r="B13">
        <v>0</v>
      </c>
      <c r="C13">
        <v>0</v>
      </c>
      <c r="D13">
        <v>0</v>
      </c>
      <c r="E13">
        <v>0</v>
      </c>
      <c r="F13">
        <v>0</v>
      </c>
      <c r="G13">
        <v>0</v>
      </c>
      <c r="H13">
        <v>0</v>
      </c>
      <c r="I13">
        <v>0</v>
      </c>
      <c r="J13">
        <v>0</v>
      </c>
      <c r="K13">
        <v>0</v>
      </c>
      <c r="L13">
        <v>0</v>
      </c>
      <c r="M13">
        <v>1</v>
      </c>
      <c r="N13">
        <v>0</v>
      </c>
      <c r="O13">
        <v>0</v>
      </c>
      <c r="P13">
        <v>0</v>
      </c>
      <c r="Q13">
        <v>0</v>
      </c>
      <c r="R13">
        <v>0</v>
      </c>
      <c r="S13">
        <v>0</v>
      </c>
      <c r="T13">
        <v>0</v>
      </c>
      <c r="U13">
        <v>0</v>
      </c>
      <c r="V13">
        <v>0</v>
      </c>
      <c r="W13">
        <v>0</v>
      </c>
      <c r="X13">
        <v>0</v>
      </c>
      <c r="Y13">
        <v>0</v>
      </c>
      <c r="Z13">
        <v>0</v>
      </c>
    </row>
    <row r="14" spans="1:26" x14ac:dyDescent="0.4">
      <c r="A14" t="s">
        <v>28</v>
      </c>
      <c r="B14">
        <v>0</v>
      </c>
      <c r="C14">
        <v>0</v>
      </c>
      <c r="D14">
        <v>0</v>
      </c>
      <c r="E14">
        <v>0</v>
      </c>
      <c r="F14">
        <v>0</v>
      </c>
      <c r="G14">
        <v>0</v>
      </c>
      <c r="H14">
        <v>0</v>
      </c>
      <c r="I14">
        <v>0.52146077723342543</v>
      </c>
      <c r="J14">
        <v>0</v>
      </c>
      <c r="K14">
        <v>0</v>
      </c>
      <c r="L14">
        <v>0</v>
      </c>
      <c r="M14">
        <v>0.47853922276657462</v>
      </c>
      <c r="N14">
        <v>0</v>
      </c>
      <c r="O14">
        <v>0</v>
      </c>
      <c r="P14">
        <v>0</v>
      </c>
      <c r="Q14">
        <v>0</v>
      </c>
      <c r="R14">
        <v>0</v>
      </c>
      <c r="S14">
        <v>0</v>
      </c>
      <c r="T14">
        <v>0</v>
      </c>
      <c r="U14">
        <v>0</v>
      </c>
      <c r="V14">
        <v>0</v>
      </c>
      <c r="W14">
        <v>0</v>
      </c>
      <c r="X14">
        <v>0</v>
      </c>
      <c r="Y14">
        <v>0</v>
      </c>
      <c r="Z14">
        <v>0</v>
      </c>
    </row>
    <row r="15" spans="1:26" x14ac:dyDescent="0.4">
      <c r="A15" t="s">
        <v>29</v>
      </c>
      <c r="B15">
        <v>0</v>
      </c>
      <c r="C15">
        <v>0</v>
      </c>
      <c r="D15">
        <v>0</v>
      </c>
      <c r="E15">
        <v>0</v>
      </c>
      <c r="F15">
        <v>0</v>
      </c>
      <c r="G15">
        <v>0</v>
      </c>
      <c r="H15">
        <v>0</v>
      </c>
      <c r="I15">
        <v>0.92911392405063309</v>
      </c>
      <c r="J15">
        <v>0</v>
      </c>
      <c r="K15">
        <v>0</v>
      </c>
      <c r="L15">
        <v>0</v>
      </c>
      <c r="M15">
        <v>7.0886075949366911E-2</v>
      </c>
      <c r="N15">
        <v>0</v>
      </c>
      <c r="O15">
        <v>0</v>
      </c>
      <c r="P15">
        <v>0</v>
      </c>
      <c r="Q15">
        <v>0</v>
      </c>
      <c r="R15">
        <v>0</v>
      </c>
      <c r="S15">
        <v>0</v>
      </c>
      <c r="T15">
        <v>0</v>
      </c>
      <c r="U15">
        <v>0</v>
      </c>
      <c r="V15">
        <v>0</v>
      </c>
      <c r="W15">
        <v>0</v>
      </c>
      <c r="X15">
        <v>0</v>
      </c>
      <c r="Y15">
        <v>0</v>
      </c>
      <c r="Z15">
        <v>0</v>
      </c>
    </row>
    <row r="16" spans="1:26" x14ac:dyDescent="0.4">
      <c r="A16" t="s">
        <v>30</v>
      </c>
      <c r="B16">
        <v>0</v>
      </c>
      <c r="C16">
        <v>0</v>
      </c>
      <c r="D16">
        <v>0</v>
      </c>
      <c r="E16">
        <v>0</v>
      </c>
      <c r="F16">
        <v>0</v>
      </c>
      <c r="G16">
        <v>0</v>
      </c>
      <c r="H16">
        <v>0</v>
      </c>
      <c r="I16">
        <v>0</v>
      </c>
      <c r="J16">
        <v>0</v>
      </c>
      <c r="K16">
        <v>0</v>
      </c>
      <c r="L16">
        <v>0</v>
      </c>
      <c r="M16">
        <v>1</v>
      </c>
      <c r="N16">
        <v>0</v>
      </c>
      <c r="O16">
        <v>0</v>
      </c>
      <c r="P16">
        <v>0</v>
      </c>
      <c r="Q16">
        <v>0</v>
      </c>
      <c r="R16">
        <v>0</v>
      </c>
      <c r="S16">
        <v>0</v>
      </c>
      <c r="T16">
        <v>0</v>
      </c>
      <c r="U16">
        <v>0</v>
      </c>
      <c r="V16">
        <v>0</v>
      </c>
      <c r="W16">
        <v>0</v>
      </c>
      <c r="X16">
        <v>0</v>
      </c>
      <c r="Y16">
        <v>0</v>
      </c>
      <c r="Z16">
        <v>0</v>
      </c>
    </row>
    <row r="17" spans="1:26" x14ac:dyDescent="0.4">
      <c r="A17" t="s">
        <v>33</v>
      </c>
      <c r="B17">
        <v>0</v>
      </c>
      <c r="C17">
        <v>0</v>
      </c>
      <c r="D17">
        <v>0</v>
      </c>
      <c r="E17">
        <v>0</v>
      </c>
      <c r="F17">
        <v>0</v>
      </c>
      <c r="G17">
        <v>0</v>
      </c>
      <c r="H17">
        <v>0</v>
      </c>
      <c r="I17">
        <v>0</v>
      </c>
      <c r="J17">
        <v>0</v>
      </c>
      <c r="K17">
        <v>0</v>
      </c>
      <c r="L17">
        <v>0</v>
      </c>
      <c r="M17">
        <v>0</v>
      </c>
      <c r="N17">
        <v>0</v>
      </c>
      <c r="O17">
        <v>0</v>
      </c>
      <c r="P17">
        <v>0</v>
      </c>
      <c r="Q17">
        <v>1</v>
      </c>
      <c r="R17">
        <v>0</v>
      </c>
      <c r="S17">
        <v>0</v>
      </c>
      <c r="T17">
        <v>0</v>
      </c>
      <c r="U17">
        <v>0</v>
      </c>
      <c r="V17">
        <v>0</v>
      </c>
      <c r="W17">
        <v>0</v>
      </c>
      <c r="X17">
        <v>0</v>
      </c>
      <c r="Y17">
        <v>0</v>
      </c>
      <c r="Z17">
        <v>0</v>
      </c>
    </row>
    <row r="18" spans="1:26" x14ac:dyDescent="0.4">
      <c r="A18" t="s">
        <v>34</v>
      </c>
      <c r="B18">
        <v>0</v>
      </c>
      <c r="C18">
        <v>0</v>
      </c>
      <c r="D18">
        <v>0</v>
      </c>
      <c r="E18">
        <v>0</v>
      </c>
      <c r="F18">
        <v>0</v>
      </c>
      <c r="G18">
        <v>0</v>
      </c>
      <c r="H18">
        <v>0</v>
      </c>
      <c r="I18">
        <v>1</v>
      </c>
      <c r="J18">
        <v>0</v>
      </c>
      <c r="K18">
        <v>0</v>
      </c>
      <c r="L18">
        <v>0</v>
      </c>
      <c r="M18">
        <v>0</v>
      </c>
      <c r="N18">
        <v>0</v>
      </c>
      <c r="O18">
        <v>0</v>
      </c>
      <c r="P18">
        <v>0</v>
      </c>
      <c r="Q18">
        <v>0</v>
      </c>
      <c r="R18">
        <v>0</v>
      </c>
      <c r="S18">
        <v>0</v>
      </c>
      <c r="T18">
        <v>0</v>
      </c>
      <c r="U18">
        <v>0</v>
      </c>
      <c r="V18">
        <v>0</v>
      </c>
      <c r="W18">
        <v>0</v>
      </c>
      <c r="X18">
        <v>0</v>
      </c>
      <c r="Y18">
        <v>0</v>
      </c>
      <c r="Z18">
        <v>0</v>
      </c>
    </row>
    <row r="19" spans="1:26" x14ac:dyDescent="0.4">
      <c r="A19" t="s">
        <v>35</v>
      </c>
      <c r="B19">
        <v>0</v>
      </c>
      <c r="C19">
        <v>0</v>
      </c>
      <c r="D19">
        <v>0</v>
      </c>
      <c r="E19">
        <v>0</v>
      </c>
      <c r="F19">
        <v>0</v>
      </c>
      <c r="G19">
        <v>0</v>
      </c>
      <c r="H19">
        <v>0</v>
      </c>
      <c r="I19">
        <v>0.48869413065044948</v>
      </c>
      <c r="J19">
        <v>0</v>
      </c>
      <c r="K19">
        <v>0</v>
      </c>
      <c r="L19">
        <v>0</v>
      </c>
      <c r="M19">
        <v>1.253769314029355E-2</v>
      </c>
      <c r="N19">
        <v>0</v>
      </c>
      <c r="O19">
        <v>0</v>
      </c>
      <c r="P19">
        <v>0</v>
      </c>
      <c r="Q19">
        <v>0</v>
      </c>
      <c r="R19">
        <v>0</v>
      </c>
      <c r="S19">
        <v>0</v>
      </c>
      <c r="T19">
        <v>0</v>
      </c>
      <c r="U19">
        <v>0</v>
      </c>
      <c r="V19">
        <v>0</v>
      </c>
      <c r="W19">
        <v>0</v>
      </c>
      <c r="X19">
        <v>0</v>
      </c>
      <c r="Y19">
        <v>0.4987681762092569</v>
      </c>
      <c r="Z19">
        <v>0</v>
      </c>
    </row>
    <row r="20" spans="1:26" x14ac:dyDescent="0.4">
      <c r="A20" t="s">
        <v>38</v>
      </c>
      <c r="B20">
        <v>0</v>
      </c>
      <c r="C20">
        <v>0</v>
      </c>
      <c r="D20">
        <v>0</v>
      </c>
      <c r="E20">
        <v>0</v>
      </c>
      <c r="F20">
        <v>0</v>
      </c>
      <c r="G20">
        <v>0</v>
      </c>
      <c r="H20">
        <v>0</v>
      </c>
      <c r="I20">
        <v>1</v>
      </c>
      <c r="J20">
        <v>0</v>
      </c>
      <c r="K20">
        <v>0</v>
      </c>
      <c r="L20">
        <v>0</v>
      </c>
      <c r="M20">
        <v>0</v>
      </c>
      <c r="N20">
        <v>0</v>
      </c>
      <c r="O20">
        <v>0</v>
      </c>
      <c r="P20">
        <v>0</v>
      </c>
      <c r="Q20">
        <v>0</v>
      </c>
      <c r="R20">
        <v>0</v>
      </c>
      <c r="S20">
        <v>0</v>
      </c>
      <c r="T20">
        <v>0</v>
      </c>
      <c r="U20">
        <v>0</v>
      </c>
      <c r="V20">
        <v>0</v>
      </c>
      <c r="W20">
        <v>0</v>
      </c>
      <c r="X20">
        <v>0</v>
      </c>
      <c r="Y20">
        <v>0</v>
      </c>
      <c r="Z20">
        <v>0</v>
      </c>
    </row>
    <row r="21" spans="1:26" x14ac:dyDescent="0.4">
      <c r="A21" t="s">
        <v>40</v>
      </c>
      <c r="B21">
        <v>0</v>
      </c>
      <c r="C21">
        <v>0</v>
      </c>
      <c r="D21">
        <v>0</v>
      </c>
      <c r="E21">
        <v>0</v>
      </c>
      <c r="F21">
        <v>0</v>
      </c>
      <c r="G21">
        <v>0</v>
      </c>
      <c r="H21">
        <v>9.7402597402597227E-3</v>
      </c>
      <c r="I21">
        <v>0.99025974025974028</v>
      </c>
      <c r="J21">
        <v>0</v>
      </c>
      <c r="K21">
        <v>0</v>
      </c>
      <c r="L21">
        <v>0</v>
      </c>
      <c r="M21">
        <v>0</v>
      </c>
      <c r="N21">
        <v>0</v>
      </c>
      <c r="O21">
        <v>0</v>
      </c>
      <c r="P21">
        <v>0</v>
      </c>
      <c r="Q21">
        <v>0</v>
      </c>
      <c r="R21">
        <v>0</v>
      </c>
      <c r="S21">
        <v>0</v>
      </c>
      <c r="T21">
        <v>0</v>
      </c>
      <c r="U21">
        <v>0</v>
      </c>
      <c r="V21">
        <v>0</v>
      </c>
      <c r="W21">
        <v>0</v>
      </c>
      <c r="X21">
        <v>0</v>
      </c>
      <c r="Y21">
        <v>0</v>
      </c>
      <c r="Z21">
        <v>0</v>
      </c>
    </row>
    <row r="22" spans="1:26" x14ac:dyDescent="0.4">
      <c r="A22" t="s">
        <v>41</v>
      </c>
      <c r="B22">
        <v>0</v>
      </c>
      <c r="C22">
        <v>0</v>
      </c>
      <c r="D22">
        <v>0</v>
      </c>
      <c r="E22">
        <v>0</v>
      </c>
      <c r="F22">
        <v>0</v>
      </c>
      <c r="G22">
        <v>0</v>
      </c>
      <c r="H22">
        <v>0.53138528138528129</v>
      </c>
      <c r="I22">
        <v>0.46861471861471871</v>
      </c>
      <c r="J22">
        <v>0</v>
      </c>
      <c r="K22">
        <v>0</v>
      </c>
      <c r="L22">
        <v>0</v>
      </c>
      <c r="M22">
        <v>0</v>
      </c>
      <c r="N22">
        <v>0</v>
      </c>
      <c r="O22">
        <v>0</v>
      </c>
      <c r="P22">
        <v>0</v>
      </c>
      <c r="Q22">
        <v>0</v>
      </c>
      <c r="R22">
        <v>0</v>
      </c>
      <c r="S22">
        <v>0</v>
      </c>
      <c r="T22">
        <v>0</v>
      </c>
      <c r="U22">
        <v>0</v>
      </c>
      <c r="V22">
        <v>0</v>
      </c>
      <c r="W22">
        <v>0</v>
      </c>
      <c r="X22">
        <v>0</v>
      </c>
      <c r="Y22">
        <v>0</v>
      </c>
      <c r="Z22">
        <v>0</v>
      </c>
    </row>
    <row r="23" spans="1:26" x14ac:dyDescent="0.4">
      <c r="A23" t="s">
        <v>43</v>
      </c>
      <c r="B23">
        <v>0</v>
      </c>
      <c r="C23">
        <v>0</v>
      </c>
      <c r="D23">
        <v>0</v>
      </c>
      <c r="E23">
        <v>0</v>
      </c>
      <c r="F23">
        <v>0</v>
      </c>
      <c r="G23">
        <v>0</v>
      </c>
      <c r="H23">
        <v>0</v>
      </c>
      <c r="I23">
        <v>1</v>
      </c>
      <c r="J23">
        <v>0</v>
      </c>
      <c r="K23">
        <v>0</v>
      </c>
      <c r="L23">
        <v>0</v>
      </c>
      <c r="M23">
        <v>0</v>
      </c>
      <c r="N23">
        <v>0</v>
      </c>
      <c r="O23">
        <v>0</v>
      </c>
      <c r="P23">
        <v>0</v>
      </c>
      <c r="Q23">
        <v>0</v>
      </c>
      <c r="R23">
        <v>0</v>
      </c>
      <c r="S23">
        <v>0</v>
      </c>
      <c r="T23">
        <v>0</v>
      </c>
      <c r="U23">
        <v>0</v>
      </c>
      <c r="V23">
        <v>0</v>
      </c>
      <c r="W23">
        <v>0</v>
      </c>
      <c r="X23">
        <v>0</v>
      </c>
      <c r="Y23">
        <v>0</v>
      </c>
      <c r="Z23">
        <v>0</v>
      </c>
    </row>
    <row r="24" spans="1:26" x14ac:dyDescent="0.4">
      <c r="A24" t="s">
        <v>48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1</v>
      </c>
      <c r="Y24">
        <v>0</v>
      </c>
      <c r="Z24">
        <v>0</v>
      </c>
    </row>
    <row r="25" spans="1:26" x14ac:dyDescent="0.4">
      <c r="A25" t="s">
        <v>49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1</v>
      </c>
      <c r="Z25">
        <v>0</v>
      </c>
    </row>
    <row r="26" spans="1:26" x14ac:dyDescent="0.4">
      <c r="A26" t="s">
        <v>50</v>
      </c>
      <c r="B26">
        <v>0</v>
      </c>
      <c r="C26">
        <v>0</v>
      </c>
      <c r="D26">
        <v>0</v>
      </c>
      <c r="E26">
        <v>0</v>
      </c>
      <c r="F26">
        <v>0</v>
      </c>
      <c r="G26">
        <v>0</v>
      </c>
      <c r="H26">
        <v>0</v>
      </c>
      <c r="I26">
        <v>0.5265822784810128</v>
      </c>
      <c r="J26">
        <v>0</v>
      </c>
      <c r="K26">
        <v>0</v>
      </c>
      <c r="L26">
        <v>0</v>
      </c>
      <c r="M26">
        <v>0.4734177215189872</v>
      </c>
      <c r="N26">
        <v>0</v>
      </c>
      <c r="O26">
        <v>0</v>
      </c>
      <c r="P26">
        <v>0</v>
      </c>
      <c r="Q26">
        <v>0</v>
      </c>
      <c r="R26">
        <v>0</v>
      </c>
      <c r="S26">
        <v>0</v>
      </c>
      <c r="T26">
        <v>0</v>
      </c>
      <c r="U26">
        <v>0</v>
      </c>
      <c r="V26">
        <v>0</v>
      </c>
      <c r="W26">
        <v>0</v>
      </c>
      <c r="X26">
        <v>0</v>
      </c>
      <c r="Y26">
        <v>0</v>
      </c>
      <c r="Z26">
        <v>0</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B89E3F-7F25-4D6C-93F9-FA3DCDA106F9}">
  <dimension ref="A2:R57"/>
  <sheetViews>
    <sheetView topLeftCell="A72" zoomScale="50" workbookViewId="0">
      <selection activeCell="X99" sqref="X99"/>
    </sheetView>
  </sheetViews>
  <sheetFormatPr defaultRowHeight="14.6" x14ac:dyDescent="0.4"/>
  <cols>
    <col min="9" max="9" width="17.53515625" bestFit="1" customWidth="1"/>
  </cols>
  <sheetData>
    <row r="2" spans="1:18" x14ac:dyDescent="0.4">
      <c r="J2" s="22" t="s">
        <v>151</v>
      </c>
      <c r="K2" s="15"/>
      <c r="L2" s="15"/>
      <c r="M2" t="s">
        <v>5</v>
      </c>
      <c r="P2" s="13" t="s">
        <v>155</v>
      </c>
      <c r="Q2" s="13"/>
      <c r="R2" s="13"/>
    </row>
    <row r="3" spans="1:18" x14ac:dyDescent="0.4">
      <c r="A3" s="14" t="s">
        <v>0</v>
      </c>
      <c r="B3" s="14" t="s">
        <v>1</v>
      </c>
      <c r="C3" s="14" t="s">
        <v>2</v>
      </c>
      <c r="D3" s="14" t="s">
        <v>3</v>
      </c>
      <c r="E3" s="14" t="s">
        <v>4</v>
      </c>
      <c r="F3" s="14" t="s">
        <v>5</v>
      </c>
      <c r="G3" s="14" t="s">
        <v>6</v>
      </c>
      <c r="J3" s="15" t="s">
        <v>152</v>
      </c>
      <c r="K3" s="15" t="s">
        <v>153</v>
      </c>
      <c r="L3" s="15" t="s">
        <v>154</v>
      </c>
      <c r="M3" t="s">
        <v>152</v>
      </c>
      <c r="N3" t="s">
        <v>153</v>
      </c>
      <c r="O3" t="s">
        <v>154</v>
      </c>
      <c r="P3" s="13" t="s">
        <v>152</v>
      </c>
      <c r="Q3" s="13" t="s">
        <v>153</v>
      </c>
      <c r="R3" s="13" t="s">
        <v>154</v>
      </c>
    </row>
    <row r="4" spans="1:18" x14ac:dyDescent="0.4">
      <c r="A4" s="17" t="s">
        <v>7</v>
      </c>
      <c r="B4">
        <f>1201555.2/28748</f>
        <v>41.796131904828158</v>
      </c>
      <c r="C4">
        <v>18.982710000000001</v>
      </c>
      <c r="D4">
        <f>9691539/28748</f>
        <v>337.12046055377766</v>
      </c>
      <c r="E4" s="17">
        <v>5.67</v>
      </c>
      <c r="F4" s="17">
        <v>0.49429400000000001</v>
      </c>
      <c r="G4">
        <v>10192.529</v>
      </c>
      <c r="J4" s="15">
        <f>$E4/B4</f>
        <v>0.13565848660136465</v>
      </c>
      <c r="K4" s="15">
        <f>$E4/C4</f>
        <v>0.29869286313703364</v>
      </c>
      <c r="L4" s="15">
        <f>$E4/D4</f>
        <v>1.6818913900052405E-2</v>
      </c>
      <c r="M4">
        <f>$F4/B4</f>
        <v>1.182630969596736E-2</v>
      </c>
      <c r="N4">
        <f>$F4/C4</f>
        <v>2.6039169328299278E-2</v>
      </c>
      <c r="O4">
        <f>$F4/D4</f>
        <v>1.4662236732473552E-3</v>
      </c>
      <c r="P4" s="13">
        <f>$G4/B4</f>
        <v>243.86297332989781</v>
      </c>
      <c r="Q4" s="13">
        <f>$G4/C4</f>
        <v>536.93750786900284</v>
      </c>
      <c r="R4" s="13">
        <f>$G4/D4</f>
        <v>30.234086009662654</v>
      </c>
    </row>
    <row r="5" spans="1:18" x14ac:dyDescent="0.4">
      <c r="A5" s="17" t="s">
        <v>11</v>
      </c>
      <c r="B5">
        <f>28768802/207560</f>
        <v>138.60475043360955</v>
      </c>
      <c r="C5">
        <v>16.49174</v>
      </c>
      <c r="D5">
        <f>111591896/207560</f>
        <v>537.63680863364812</v>
      </c>
      <c r="E5" s="17">
        <v>20.64</v>
      </c>
      <c r="F5" s="17">
        <v>0.38143300000000002</v>
      </c>
      <c r="G5">
        <v>18122.863000000001</v>
      </c>
      <c r="J5" s="15">
        <f>E5/B5</f>
        <v>0.14891264502428708</v>
      </c>
      <c r="K5" s="15">
        <f>$E5/C5</f>
        <v>1.2515356172241376</v>
      </c>
      <c r="L5" s="15">
        <f>$E5/D5</f>
        <v>3.8390228623770312E-2</v>
      </c>
      <c r="M5">
        <f>$F5/B5</f>
        <v>2.7519475256564388E-3</v>
      </c>
      <c r="N5">
        <f>$F5/C5</f>
        <v>2.3128729897512332E-2</v>
      </c>
      <c r="O5">
        <f>$F5/D5</f>
        <v>7.0946221291911735E-4</v>
      </c>
      <c r="P5" s="13">
        <f>$G5/B5</f>
        <v>130.75210584994122</v>
      </c>
      <c r="Q5" s="13">
        <f>$G5/C5</f>
        <v>1098.9054520626689</v>
      </c>
      <c r="R5" s="13">
        <f>$G5/D5</f>
        <v>33.708374703840505</v>
      </c>
    </row>
    <row r="6" spans="1:18" x14ac:dyDescent="0.4">
      <c r="A6" s="17" t="s">
        <v>12</v>
      </c>
      <c r="B6">
        <f>9323679/30688</f>
        <v>303.82165667361835</v>
      </c>
      <c r="C6">
        <v>13.27885</v>
      </c>
      <c r="D6">
        <f>126559150/30688</f>
        <v>4124.0598931178311</v>
      </c>
      <c r="E6" s="17">
        <v>12.69</v>
      </c>
      <c r="F6" s="5">
        <v>0.71222556000000004</v>
      </c>
      <c r="G6">
        <v>39160.324000000001</v>
      </c>
      <c r="J6" s="15">
        <f>E6/B6</f>
        <v>4.1767924442701214E-2</v>
      </c>
      <c r="K6" s="15">
        <f>$E6/C6</f>
        <v>0.95565504542938573</v>
      </c>
      <c r="L6" s="15">
        <f>$E6/D6</f>
        <v>3.077064913915746E-3</v>
      </c>
      <c r="M6">
        <f>$F6/B6</f>
        <v>2.344222488277428E-3</v>
      </c>
      <c r="N6">
        <f>$F6/C6</f>
        <v>5.3636087462393206E-2</v>
      </c>
      <c r="O6">
        <f>$F6/D6</f>
        <v>1.7270010098266306E-4</v>
      </c>
      <c r="P6" s="13">
        <f>$G6/B6</f>
        <v>128.89247076309684</v>
      </c>
      <c r="Q6" s="13">
        <f>$G6/C6</f>
        <v>2949.0749575452692</v>
      </c>
      <c r="R6" s="13">
        <f>$G6/D6</f>
        <v>9.4955759651672764</v>
      </c>
    </row>
    <row r="7" spans="1:18" x14ac:dyDescent="0.4">
      <c r="A7" s="17" t="s">
        <v>13</v>
      </c>
      <c r="B7">
        <f>3847866/110994</f>
        <v>34.66733336937132</v>
      </c>
      <c r="C7">
        <v>20.41206</v>
      </c>
      <c r="D7">
        <f>59439004/110994</f>
        <v>535.51546930464713</v>
      </c>
      <c r="E7" s="17">
        <v>13.63</v>
      </c>
      <c r="F7" s="17">
        <v>0.54433600000000004</v>
      </c>
      <c r="G7">
        <v>16186.409</v>
      </c>
      <c r="J7" s="15">
        <f>E7/B7</f>
        <v>0.39316551563905811</v>
      </c>
      <c r="K7" s="15">
        <f>$E7/C7</f>
        <v>0.667742501246812</v>
      </c>
      <c r="L7" s="15">
        <f>$E7/D7</f>
        <v>2.5452112555587238E-2</v>
      </c>
      <c r="M7">
        <f>$F7/B7</f>
        <v>1.5701698027945878E-2</v>
      </c>
      <c r="N7">
        <f>$F7/C7</f>
        <v>2.6667372131965125E-2</v>
      </c>
      <c r="O7">
        <f>$F7/D7</f>
        <v>1.0164711034525411E-3</v>
      </c>
      <c r="P7" s="13">
        <f>$G7/B7</f>
        <v>466.90666477107044</v>
      </c>
      <c r="Q7" s="13">
        <f>$G7/C7</f>
        <v>792.98262889683838</v>
      </c>
      <c r="R7" s="13">
        <f>$G7/D7</f>
        <v>30.225847669755701</v>
      </c>
    </row>
    <row r="8" spans="1:18" x14ac:dyDescent="0.4">
      <c r="A8" s="17" t="s">
        <v>14</v>
      </c>
      <c r="B8">
        <f>42385420/9985000</f>
        <v>4.2449093640460687</v>
      </c>
      <c r="C8">
        <v>7.1536400000000002</v>
      </c>
      <c r="D8">
        <f>857682560/9985000</f>
        <v>85.897101652478725</v>
      </c>
      <c r="E8" s="17">
        <v>9.98</v>
      </c>
      <c r="F8" s="17">
        <v>0.78090999999999999</v>
      </c>
      <c r="G8">
        <v>43761.527000000002</v>
      </c>
      <c r="J8" s="15">
        <f>E8/B8</f>
        <v>2.3510513756853184</v>
      </c>
      <c r="K8" s="15">
        <f>$E8/C8</f>
        <v>1.3950939661487018</v>
      </c>
      <c r="L8" s="15">
        <f>$E8/D8</f>
        <v>0.11618552672914323</v>
      </c>
      <c r="M8">
        <f>$F8/B8</f>
        <v>0.18396388074012246</v>
      </c>
      <c r="N8">
        <f>$F8/C8</f>
        <v>0.10916260812677182</v>
      </c>
      <c r="O8">
        <f>$F8/D8</f>
        <v>9.0912264206468169E-3</v>
      </c>
      <c r="P8" s="13">
        <f>$G8/B8</f>
        <v>10309.178181907837</v>
      </c>
      <c r="Q8" s="13">
        <f>$G8/C8</f>
        <v>6117.3789846847203</v>
      </c>
      <c r="R8" s="13">
        <f>$G8/D8</f>
        <v>509.46453556779795</v>
      </c>
    </row>
    <row r="9" spans="1:18" x14ac:dyDescent="0.4">
      <c r="A9" s="17" t="s">
        <v>16</v>
      </c>
      <c r="B9">
        <f>342181.62/9250</f>
        <v>36.992607567567568</v>
      </c>
      <c r="C9">
        <v>15.126860000000001</v>
      </c>
      <c r="D9">
        <f>7644012/9250</f>
        <v>826.37967567567568</v>
      </c>
      <c r="E9" s="17">
        <v>4.26</v>
      </c>
      <c r="F9" s="17">
        <v>0.68421100000000001</v>
      </c>
      <c r="G9">
        <v>25081.504000000001</v>
      </c>
      <c r="J9" s="15">
        <f>E9/B9</f>
        <v>0.11515814321061428</v>
      </c>
      <c r="K9" s="15">
        <f>$E9/C9</f>
        <v>0.28161826049821309</v>
      </c>
      <c r="L9" s="15">
        <f>$E9/D9</f>
        <v>5.1550154552347637E-3</v>
      </c>
      <c r="M9">
        <f>$F9/B9</f>
        <v>1.8495884583163761E-2</v>
      </c>
      <c r="N9">
        <f>$F9/C9</f>
        <v>4.5231528552521806E-2</v>
      </c>
      <c r="O9">
        <f>$F9/D9</f>
        <v>8.2796203747456177E-4</v>
      </c>
      <c r="P9" s="13">
        <f>$G9/B9</f>
        <v>678.01395060319135</v>
      </c>
      <c r="Q9" s="13">
        <f>$G9/C9</f>
        <v>1658.0773537931864</v>
      </c>
      <c r="R9" s="13">
        <f>$G9/D9</f>
        <v>30.3510659062283</v>
      </c>
    </row>
    <row r="10" spans="1:18" x14ac:dyDescent="0.4">
      <c r="A10" s="17" t="s">
        <v>17</v>
      </c>
      <c r="B10">
        <f>6440591.5/78866</f>
        <v>81.664995054903258</v>
      </c>
      <c r="C10">
        <v>17.515899999999998</v>
      </c>
      <c r="D10">
        <f>119829860/78866</f>
        <v>1519.4108995004185</v>
      </c>
      <c r="E10" s="17">
        <v>23.92</v>
      </c>
      <c r="F10" s="17">
        <v>0.68402399999999997</v>
      </c>
      <c r="G10">
        <v>28437.603999999999</v>
      </c>
      <c r="J10" s="15">
        <f>E10/B10</f>
        <v>0.29290395455137935</v>
      </c>
      <c r="K10" s="15">
        <f>$E10/C10</f>
        <v>1.3656163828293153</v>
      </c>
      <c r="L10" s="15">
        <f>$E10/D10</f>
        <v>1.5742943536777895E-2</v>
      </c>
      <c r="M10">
        <f>$F10/B10</f>
        <v>8.3759755270925024E-3</v>
      </c>
      <c r="N10">
        <f>$F10/C10</f>
        <v>3.9051604542158842E-2</v>
      </c>
      <c r="O10">
        <f>$F10/D10</f>
        <v>4.5019026796826764E-4</v>
      </c>
      <c r="P10" s="13">
        <f>$G10/B10</f>
        <v>348.22268685477098</v>
      </c>
      <c r="Q10" s="13">
        <f>$G10/C10</f>
        <v>1623.5308491142334</v>
      </c>
      <c r="R10" s="13">
        <f>$G10/D10</f>
        <v>18.716203766440184</v>
      </c>
    </row>
    <row r="11" spans="1:18" x14ac:dyDescent="0.4">
      <c r="A11" s="17" t="s">
        <v>20</v>
      </c>
      <c r="B11">
        <f>7348762/338462</f>
        <v>21.712221756061243</v>
      </c>
      <c r="C11">
        <v>5.8262299999999998</v>
      </c>
      <c r="D11">
        <f>88243340/338462</f>
        <v>260.7186035655406</v>
      </c>
      <c r="E11" s="17">
        <v>14.68</v>
      </c>
      <c r="F11" s="17">
        <v>0.71167100000000005</v>
      </c>
      <c r="G11">
        <v>36986.699999999997</v>
      </c>
      <c r="J11" s="15">
        <f>E11/B11</f>
        <v>0.67611689696849608</v>
      </c>
      <c r="K11" s="15">
        <f>$E11/C11</f>
        <v>2.5196396297434189</v>
      </c>
      <c r="L11" s="15">
        <f>$E11/D11</f>
        <v>5.6305916797800261E-2</v>
      </c>
      <c r="M11">
        <f>$F11/B11</f>
        <v>3.2777437887089006E-2</v>
      </c>
      <c r="N11">
        <f>$F11/C11</f>
        <v>0.12214948603127582</v>
      </c>
      <c r="O11">
        <f>$F11/D11</f>
        <v>2.7296517788424602E-3</v>
      </c>
      <c r="P11" s="13">
        <f>$G11/B11</f>
        <v>1703.4967869962313</v>
      </c>
      <c r="Q11" s="13">
        <f>$G11/C11</f>
        <v>6348.3075676724056</v>
      </c>
      <c r="R11" s="13">
        <f>$G11/D11</f>
        <v>141.86444501534052</v>
      </c>
    </row>
    <row r="12" spans="1:18" x14ac:dyDescent="0.4">
      <c r="A12" s="17" t="s">
        <v>21</v>
      </c>
      <c r="B12">
        <f>39493550/551695</f>
        <v>71.585840002175118</v>
      </c>
      <c r="C12">
        <v>12.20689</v>
      </c>
      <c r="D12">
        <f>404057660/551695</f>
        <v>732.39318826525528</v>
      </c>
      <c r="E12" s="17">
        <v>10.43</v>
      </c>
      <c r="F12" s="5">
        <v>0.73974150000000005</v>
      </c>
      <c r="G12">
        <v>37077.89</v>
      </c>
      <c r="J12" s="15">
        <f>E12/B12</f>
        <v>0.14569920531327266</v>
      </c>
      <c r="K12" s="15">
        <f>$E12/C12</f>
        <v>0.85443548684390536</v>
      </c>
      <c r="L12" s="15">
        <f>$E12/D12</f>
        <v>1.424098444266593E-2</v>
      </c>
      <c r="M12">
        <f>$F12/B12</f>
        <v>1.0333628829074621E-2</v>
      </c>
      <c r="N12">
        <f>$F12/C12</f>
        <v>6.0600324898479468E-2</v>
      </c>
      <c r="O12">
        <f>$F12/D12</f>
        <v>1.0100332879285101E-3</v>
      </c>
      <c r="P12" s="13">
        <f>$G12/B12</f>
        <v>517.95005826394436</v>
      </c>
      <c r="Q12" s="13">
        <f>$G12/C12</f>
        <v>3037.4558958096618</v>
      </c>
      <c r="R12" s="13">
        <f>$G12/D12</f>
        <v>50.625661999700732</v>
      </c>
    </row>
    <row r="13" spans="1:18" x14ac:dyDescent="0.4">
      <c r="A13" s="17" t="s">
        <v>24</v>
      </c>
      <c r="B13">
        <f>4579830/131957</f>
        <v>34.706987882416243</v>
      </c>
      <c r="C13">
        <v>16.445550000000001</v>
      </c>
      <c r="D13">
        <f>84390630/131957</f>
        <v>639.53128670703336</v>
      </c>
      <c r="E13" s="17">
        <v>8.2899999999999991</v>
      </c>
      <c r="F13" s="17">
        <v>0.64623299999999995</v>
      </c>
      <c r="G13">
        <v>22696.203000000001</v>
      </c>
      <c r="J13" s="15">
        <f>E13/B13</f>
        <v>0.23885679817809827</v>
      </c>
      <c r="K13" s="15">
        <f>$E13/C13</f>
        <v>0.50408773193964318</v>
      </c>
      <c r="L13" s="15">
        <f>$E13/D13</f>
        <v>1.2962618361777841E-2</v>
      </c>
      <c r="M13">
        <f>$F13/B13</f>
        <v>1.8619679765624488E-2</v>
      </c>
      <c r="N13">
        <f>$F13/C13</f>
        <v>3.9295310889571944E-2</v>
      </c>
      <c r="O13">
        <f>$F13/D13</f>
        <v>1.0104791015424341E-3</v>
      </c>
      <c r="P13" s="13">
        <f>$G13/B13</f>
        <v>653.93756084199629</v>
      </c>
      <c r="Q13" s="13">
        <f>$G13/C13</f>
        <v>1380.0817242354315</v>
      </c>
      <c r="R13" s="13">
        <f>$G13/D13</f>
        <v>35.48880793129522</v>
      </c>
    </row>
    <row r="14" spans="1:18" x14ac:dyDescent="0.4">
      <c r="A14" s="17" t="s">
        <v>22</v>
      </c>
      <c r="B14">
        <f>1816214.2/69700</f>
        <v>26.057592539454806</v>
      </c>
      <c r="C14">
        <v>22.569389999999999</v>
      </c>
      <c r="D14">
        <f>9192436/69700</f>
        <v>131.88573888091821</v>
      </c>
      <c r="E14" s="17">
        <v>8.86</v>
      </c>
      <c r="F14" s="17">
        <v>0.55564499999999994</v>
      </c>
      <c r="G14">
        <v>10629.593999999999</v>
      </c>
      <c r="J14" s="15">
        <f>E14/B14</f>
        <v>0.34001606198211642</v>
      </c>
      <c r="K14" s="15">
        <f>$E14/C14</f>
        <v>0.39256710083879093</v>
      </c>
      <c r="L14" s="15">
        <f>$E14/D14</f>
        <v>6.7179363554992391E-2</v>
      </c>
      <c r="M14">
        <f>$F14/B14</f>
        <v>2.1323727399554522E-2</v>
      </c>
      <c r="N14">
        <f>$F14/C14</f>
        <v>2.4619407081892777E-2</v>
      </c>
      <c r="O14">
        <f>$F14/D14</f>
        <v>4.2130787203740116E-3</v>
      </c>
      <c r="P14" s="13">
        <f>$G14/B14</f>
        <v>407.92694044568088</v>
      </c>
      <c r="Q14" s="13">
        <f>$G14/C14</f>
        <v>470.9739164416938</v>
      </c>
      <c r="R14" s="13">
        <f>$G14/D14</f>
        <v>80.596993201802007</v>
      </c>
    </row>
    <row r="15" spans="1:18" x14ac:dyDescent="0.4">
      <c r="A15" s="17" t="s">
        <v>26</v>
      </c>
      <c r="B15">
        <f>367652.34/103000</f>
        <v>3.5694401941747573</v>
      </c>
      <c r="C15">
        <v>6.4300100000000002</v>
      </c>
      <c r="D15">
        <f>4808067.5/103000</f>
        <v>46.680266990291265</v>
      </c>
      <c r="E15" s="17">
        <v>10.73</v>
      </c>
      <c r="F15" s="17">
        <v>0.76290400000000003</v>
      </c>
      <c r="G15">
        <v>39756.527000000002</v>
      </c>
      <c r="J15" s="15">
        <f>E15/B15</f>
        <v>3.0060736183536871</v>
      </c>
      <c r="K15" s="15">
        <f>$E15/C15</f>
        <v>1.6687376847003348</v>
      </c>
      <c r="L15" s="15">
        <f>$E15/D15</f>
        <v>0.22986158160217177</v>
      </c>
      <c r="M15">
        <f>$F15/B15</f>
        <v>0.21373211442092277</v>
      </c>
      <c r="N15">
        <f>$F15/C15</f>
        <v>0.11864740490294727</v>
      </c>
      <c r="O15">
        <f>$F15/D15</f>
        <v>1.6343179874242615E-2</v>
      </c>
      <c r="P15" s="13">
        <f>$G15/B15</f>
        <v>11138.028608766641</v>
      </c>
      <c r="Q15" s="13">
        <f>$G15/C15</f>
        <v>6182.9650342689984</v>
      </c>
      <c r="R15" s="13">
        <f>$G15/D15</f>
        <v>851.67736954608063</v>
      </c>
    </row>
    <row r="16" spans="1:18" x14ac:dyDescent="0.4">
      <c r="A16" s="17" t="s">
        <v>28</v>
      </c>
      <c r="B16">
        <f>2627072.8/20770</f>
        <v>126.48400577756378</v>
      </c>
      <c r="C16">
        <v>21.654979999999998</v>
      </c>
      <c r="D16">
        <f>77176136/20770</f>
        <v>3715.7504092441022</v>
      </c>
      <c r="E16" s="17">
        <v>12.78</v>
      </c>
      <c r="F16" s="17">
        <v>0.73618799999999995</v>
      </c>
      <c r="G16">
        <v>31050.407999999999</v>
      </c>
      <c r="J16" s="15">
        <f>E16/B16</f>
        <v>0.10104044318832733</v>
      </c>
      <c r="K16" s="15">
        <f>$E16/C16</f>
        <v>0.59016447948693562</v>
      </c>
      <c r="L16" s="15">
        <f>$E16/D16</f>
        <v>3.4394129294060532E-3</v>
      </c>
      <c r="M16">
        <f>$F16/B16</f>
        <v>5.8204038959255334E-3</v>
      </c>
      <c r="N16">
        <f>$F16/C16</f>
        <v>3.3996244743703295E-2</v>
      </c>
      <c r="O16">
        <f>$F16/D16</f>
        <v>1.9812633221233047E-4</v>
      </c>
      <c r="P16" s="13">
        <f>$G16/B16</f>
        <v>245.48880950691586</v>
      </c>
      <c r="Q16" s="13">
        <f>$G16/C16</f>
        <v>1433.8691608119705</v>
      </c>
      <c r="R16" s="13">
        <f>$G16/D16</f>
        <v>8.356429948242031</v>
      </c>
    </row>
    <row r="17" spans="1:18" x14ac:dyDescent="0.4">
      <c r="A17" s="17" t="s">
        <v>29</v>
      </c>
      <c r="B17">
        <f>16488255/302073</f>
        <v>54.583676793357895</v>
      </c>
      <c r="C17">
        <v>17.27739</v>
      </c>
      <c r="D17">
        <f>397890080/302073</f>
        <v>1317.1984255461427</v>
      </c>
      <c r="E17" s="17">
        <v>14.4</v>
      </c>
      <c r="F17" s="17">
        <v>0.70633299999999999</v>
      </c>
      <c r="G17">
        <v>33620.741999999998</v>
      </c>
      <c r="J17" s="15">
        <f>E17/B17</f>
        <v>0.26381513386346828</v>
      </c>
      <c r="K17" s="15">
        <f>$E17/C17</f>
        <v>0.83345922040308174</v>
      </c>
      <c r="L17" s="15">
        <f>$E17/D17</f>
        <v>1.0932293662611545E-2</v>
      </c>
      <c r="M17">
        <f>$F17/B17</f>
        <v>1.2940370482443413E-2</v>
      </c>
      <c r="N17">
        <f>$F17/C17</f>
        <v>4.0881927189234023E-2</v>
      </c>
      <c r="O17">
        <f>$F17/D17</f>
        <v>5.3623887358287495E-4</v>
      </c>
      <c r="P17" s="13">
        <f>$G17/B17</f>
        <v>615.94864939716183</v>
      </c>
      <c r="Q17" s="13">
        <f>$G17/C17</f>
        <v>1945.9387094925794</v>
      </c>
      <c r="R17" s="13">
        <f>$G17/D17</f>
        <v>25.524432270756787</v>
      </c>
    </row>
    <row r="18" spans="1:18" x14ac:dyDescent="0.4">
      <c r="A18" s="17" t="s">
        <v>30</v>
      </c>
      <c r="B18">
        <f>11072543/2725000</f>
        <v>4.0633185321100918</v>
      </c>
      <c r="C18">
        <v>30.831779999999998</v>
      </c>
      <c r="D18">
        <f>369324380/2725000</f>
        <v>135.53188256880733</v>
      </c>
      <c r="E18" s="17">
        <v>10.28</v>
      </c>
      <c r="F18" s="17">
        <v>0.37193799999999999</v>
      </c>
      <c r="G18">
        <v>23782.562000000002</v>
      </c>
      <c r="J18" s="15">
        <f>E18/B18</f>
        <v>2.5299517915622451</v>
      </c>
      <c r="K18" s="15">
        <f>$E18/C18</f>
        <v>0.33342220267529155</v>
      </c>
      <c r="L18" s="15">
        <f>$E18/D18</f>
        <v>7.5849311653890819E-2</v>
      </c>
      <c r="M18">
        <f>$F18/B18</f>
        <v>9.1535526211097118E-2</v>
      </c>
      <c r="N18">
        <f>$F18/C18</f>
        <v>1.2063461791696749E-2</v>
      </c>
      <c r="O18">
        <f>$F18/D18</f>
        <v>2.7442841710043622E-3</v>
      </c>
      <c r="P18" s="13">
        <f>$G18/B18</f>
        <v>5852.9898190506019</v>
      </c>
      <c r="Q18" s="13">
        <f>$G18/C18</f>
        <v>771.36519526281006</v>
      </c>
      <c r="R18" s="13">
        <f>$G18/D18</f>
        <v>175.47577403365574</v>
      </c>
    </row>
    <row r="19" spans="1:18" x14ac:dyDescent="0.4">
      <c r="A19" s="17" t="s">
        <v>33</v>
      </c>
      <c r="B19">
        <f>6299640/65300</f>
        <v>96.472281776416537</v>
      </c>
      <c r="C19">
        <v>11.437580000000001</v>
      </c>
      <c r="D19">
        <f>25367098/65300</f>
        <v>388.47010719754979</v>
      </c>
      <c r="E19" s="17">
        <v>17.21</v>
      </c>
      <c r="F19" s="17">
        <v>0.66436799999999996</v>
      </c>
      <c r="G19">
        <v>23968.848000000002</v>
      </c>
      <c r="J19" s="15">
        <f>E19/B19</f>
        <v>0.17839320977071707</v>
      </c>
      <c r="K19" s="15">
        <f>$E19/C19</f>
        <v>1.5046889289517538</v>
      </c>
      <c r="L19" s="15">
        <f>$E19/D19</f>
        <v>4.4301993077804955E-2</v>
      </c>
      <c r="M19">
        <f>$F19/B19</f>
        <v>6.886620568794407E-3</v>
      </c>
      <c r="N19">
        <f>$F19/C19</f>
        <v>5.8086413384649545E-2</v>
      </c>
      <c r="O19">
        <f>$F19/D19</f>
        <v>1.7102165332431795E-3</v>
      </c>
      <c r="P19" s="13">
        <f>$G19/B19</f>
        <v>248.45320913576018</v>
      </c>
      <c r="Q19" s="13">
        <f>$G19/C19</f>
        <v>2095.6223257017655</v>
      </c>
      <c r="R19" s="13">
        <f>$G19/D19</f>
        <v>61.70062394996858</v>
      </c>
    </row>
    <row r="20" spans="1:18" x14ac:dyDescent="0.4">
      <c r="A20" s="17" t="s">
        <v>34</v>
      </c>
      <c r="B20">
        <f>49154.36/316</f>
        <v>155.55177215189875</v>
      </c>
      <c r="C20">
        <v>13.853</v>
      </c>
      <c r="D20">
        <f>1892776/316</f>
        <v>5989.7974683544307</v>
      </c>
      <c r="E20" s="17">
        <v>7.45</v>
      </c>
      <c r="F20" s="17">
        <v>0.67796100000000004</v>
      </c>
      <c r="G20">
        <v>28906.48</v>
      </c>
      <c r="J20" s="15">
        <f>E20/B20</f>
        <v>4.7894022015544498E-2</v>
      </c>
      <c r="K20" s="15">
        <f>$E20/C20</f>
        <v>0.53778964845159893</v>
      </c>
      <c r="L20" s="15">
        <f>$E20/D20</f>
        <v>1.2437816202234178E-3</v>
      </c>
      <c r="M20">
        <f>$F20/B20</f>
        <v>4.3584267194202104E-3</v>
      </c>
      <c r="N20">
        <f>$F20/C20</f>
        <v>4.8939652060925432E-2</v>
      </c>
      <c r="O20">
        <f>$F20/D20</f>
        <v>1.1318596389641458E-4</v>
      </c>
      <c r="P20" s="13">
        <f>$G20/B20</f>
        <v>185.83189120965056</v>
      </c>
      <c r="Q20" s="13">
        <f>$G20/C20</f>
        <v>2086.6584855266005</v>
      </c>
      <c r="R20" s="13">
        <f>$G20/D20</f>
        <v>4.825952822732325</v>
      </c>
    </row>
    <row r="21" spans="1:18" x14ac:dyDescent="0.4">
      <c r="A21" s="17" t="s">
        <v>35</v>
      </c>
      <c r="B21">
        <f>12815863/41850</f>
        <v>306.23328554360813</v>
      </c>
      <c r="C21">
        <v>12.585039999999999</v>
      </c>
      <c r="D21">
        <f>209520130/41850</f>
        <v>5006.4547192353648</v>
      </c>
      <c r="E21" s="17">
        <v>10.8</v>
      </c>
      <c r="F21" s="17">
        <v>0.74280800000000002</v>
      </c>
      <c r="G21">
        <v>44912.663999999997</v>
      </c>
      <c r="J21" s="15">
        <f>E21/B21</f>
        <v>3.5267230930917409E-2</v>
      </c>
      <c r="K21" s="15">
        <f>$E21/C21</f>
        <v>0.8581617539554901</v>
      </c>
      <c r="L21" s="15">
        <f>$E21/D21</f>
        <v>2.1572151563670756E-3</v>
      </c>
      <c r="M21">
        <f>$F21/B21</f>
        <v>2.425627895678972E-3</v>
      </c>
      <c r="N21">
        <f>$F21/C21</f>
        <v>5.9023094086312004E-2</v>
      </c>
      <c r="O21">
        <f>$F21/D21</f>
        <v>1.4837006258062172E-4</v>
      </c>
      <c r="P21" s="13">
        <f>$G21/B21</f>
        <v>146.66160120469451</v>
      </c>
      <c r="Q21" s="13">
        <f>$G21/C21</f>
        <v>3568.7343067642214</v>
      </c>
      <c r="R21" s="13">
        <f>$G21/D21</f>
        <v>8.9709518049649919</v>
      </c>
    </row>
    <row r="22" spans="1:18" x14ac:dyDescent="0.4">
      <c r="A22" s="17" t="s">
        <v>38</v>
      </c>
      <c r="B22">
        <f>3354506.2/92152</f>
        <v>36.401881673756407</v>
      </c>
      <c r="C22">
        <v>8.6753400000000003</v>
      </c>
      <c r="D22">
        <f>63353732/92152</f>
        <v>687.49166594322423</v>
      </c>
      <c r="E22" s="17">
        <v>12.14</v>
      </c>
      <c r="F22" s="17">
        <v>0.62483999999999995</v>
      </c>
      <c r="G22">
        <v>24983.701000000001</v>
      </c>
      <c r="J22" s="15">
        <f>E22/B22</f>
        <v>0.33349924349521248</v>
      </c>
      <c r="K22" s="15">
        <f>$E22/C22</f>
        <v>1.3993687855461574</v>
      </c>
      <c r="L22" s="15">
        <f>$E22/D22</f>
        <v>1.7658395877925552E-2</v>
      </c>
      <c r="M22">
        <f>$F22/B22</f>
        <v>1.7165046730275826E-2</v>
      </c>
      <c r="N22">
        <f>$F22/C22</f>
        <v>7.2024842830367447E-2</v>
      </c>
      <c r="O22">
        <f>$F22/D22</f>
        <v>9.0886919937092252E-4</v>
      </c>
      <c r="P22" s="13">
        <f>$G22/B22</f>
        <v>686.32993271915848</v>
      </c>
      <c r="Q22" s="13">
        <f>$G22/C22</f>
        <v>2879.8526628351165</v>
      </c>
      <c r="R22" s="13">
        <f>$G22/D22</f>
        <v>36.34036925483727</v>
      </c>
    </row>
    <row r="23" spans="1:18" x14ac:dyDescent="0.4">
      <c r="A23" s="17" t="s">
        <v>40</v>
      </c>
      <c r="B23">
        <f>3466474/88499</f>
        <v>39.169640334919038</v>
      </c>
      <c r="C23">
        <v>25.332979999999999</v>
      </c>
      <c r="D23">
        <f>45359156/88499</f>
        <v>512.53862755511364</v>
      </c>
      <c r="E23" s="17">
        <v>14.77</v>
      </c>
      <c r="F23" s="17">
        <v>0.47647099999999998</v>
      </c>
      <c r="G23">
        <v>13013.853999999999</v>
      </c>
      <c r="J23" s="15">
        <f>E23/B23</f>
        <v>0.37707775393670917</v>
      </c>
      <c r="K23" s="15">
        <f>$E23/C23</f>
        <v>0.58303444758571632</v>
      </c>
      <c r="L23" s="15">
        <f>$E23/D23</f>
        <v>2.881734020800563E-2</v>
      </c>
      <c r="M23">
        <f>$F23/B23</f>
        <v>1.2164293466213795E-2</v>
      </c>
      <c r="N23">
        <f>$F23/C23</f>
        <v>1.8808328116155303E-2</v>
      </c>
      <c r="O23">
        <f>$F23/D23</f>
        <v>9.2962944524364595E-4</v>
      </c>
      <c r="P23" s="13">
        <f>$G23/B23</f>
        <v>332.24338770347043</v>
      </c>
      <c r="Q23" s="13">
        <f>$G23/C23</f>
        <v>513.71192808741807</v>
      </c>
      <c r="R23" s="13">
        <f>$G23/D23</f>
        <v>25.390972114780968</v>
      </c>
    </row>
    <row r="24" spans="1:18" x14ac:dyDescent="0.4">
      <c r="A24" s="17" t="s">
        <v>41</v>
      </c>
      <c r="B24">
        <f>3237510.5/49035</f>
        <v>66.024482512491076</v>
      </c>
      <c r="C24">
        <v>19.049779999999998</v>
      </c>
      <c r="D24">
        <f>62561244/49035</f>
        <v>1275.8487610890181</v>
      </c>
      <c r="E24" s="17">
        <v>19.59</v>
      </c>
      <c r="F24" s="17">
        <v>0.65545699999999996</v>
      </c>
      <c r="G24">
        <v>24647.719000000001</v>
      </c>
      <c r="J24" s="15">
        <f>E24/B24</f>
        <v>0.29670811878447961</v>
      </c>
      <c r="K24" s="15">
        <f>$E24/C24</f>
        <v>1.0283583327471499</v>
      </c>
      <c r="L24" s="15">
        <f>$E24/D24</f>
        <v>1.5354484479240853E-2</v>
      </c>
      <c r="M24">
        <f>$F24/B24</f>
        <v>9.9274840946461784E-3</v>
      </c>
      <c r="N24">
        <f>$F24/C24</f>
        <v>3.4407588959032599E-2</v>
      </c>
      <c r="O24">
        <f>$F24/D24</f>
        <v>5.1374192615159624E-4</v>
      </c>
      <c r="P24" s="13">
        <f>$G24/B24</f>
        <v>373.311808923863</v>
      </c>
      <c r="Q24" s="13">
        <f>$G24/C24</f>
        <v>1293.8584592577974</v>
      </c>
      <c r="R24" s="13">
        <f>$G24/D24</f>
        <v>19.318683962949969</v>
      </c>
    </row>
    <row r="25" spans="1:18" x14ac:dyDescent="0.4">
      <c r="A25" s="17" t="s">
        <v>43</v>
      </c>
      <c r="B25">
        <f>21216588/506030</f>
        <v>41.927529988340609</v>
      </c>
      <c r="C25">
        <v>11.11022</v>
      </c>
      <c r="D25">
        <f>324089500/506030</f>
        <v>640.45511135703418</v>
      </c>
      <c r="E25" s="17">
        <v>11.29</v>
      </c>
      <c r="F25" s="5">
        <v>0.66597989999999996</v>
      </c>
      <c r="G25" s="4">
        <v>32057.098000000002</v>
      </c>
      <c r="J25" s="15">
        <f>E25/B25</f>
        <v>0.26927415001884375</v>
      </c>
      <c r="K25" s="15">
        <f>$E25/C25</f>
        <v>1.0161814977561199</v>
      </c>
      <c r="L25" s="15">
        <f>$E25/D25</f>
        <v>1.7628089462941563E-2</v>
      </c>
      <c r="M25">
        <f>$F25/B25</f>
        <v>1.5884071877957002E-2</v>
      </c>
      <c r="N25">
        <f>$F25/C25</f>
        <v>5.9942998428473962E-2</v>
      </c>
      <c r="O25">
        <f>$F25/D25</f>
        <v>1.0398541415164637E-3</v>
      </c>
      <c r="P25" s="13">
        <f>$G25/B25</f>
        <v>764.58350894781017</v>
      </c>
      <c r="Q25" s="13">
        <f>$G25/C25</f>
        <v>2885.3702266921809</v>
      </c>
      <c r="R25" s="13">
        <f>$G25/D25</f>
        <v>50.053621919068654</v>
      </c>
    </row>
    <row r="26" spans="1:18" x14ac:dyDescent="0.4">
      <c r="A26" s="17" t="s">
        <v>48</v>
      </c>
      <c r="B26">
        <f>30488942/243610</f>
        <v>125.15472271253233</v>
      </c>
      <c r="C26">
        <v>11.082789999999999</v>
      </c>
      <c r="D26">
        <f>517176200/243610</f>
        <v>2122.9678584622961</v>
      </c>
      <c r="E26" s="17">
        <v>9.2899999999999991</v>
      </c>
      <c r="F26" s="17">
        <v>0.78159500000000004</v>
      </c>
      <c r="G26">
        <v>37101.226999999999</v>
      </c>
      <c r="J26" s="15">
        <f>E26/B26</f>
        <v>7.4228121789204737E-2</v>
      </c>
      <c r="K26" s="15">
        <f>$E26/C26</f>
        <v>0.83823658122187639</v>
      </c>
      <c r="L26" s="15">
        <f>$E26/D26</f>
        <v>4.3759494346414241E-3</v>
      </c>
      <c r="M26">
        <f>$F26/B26</f>
        <v>6.2450300161284705E-3</v>
      </c>
      <c r="N26">
        <f>$F26/C26</f>
        <v>7.052330685684742E-2</v>
      </c>
      <c r="O26">
        <f>$F26/D26</f>
        <v>3.6816148529263338E-4</v>
      </c>
      <c r="P26" s="13">
        <f>$G26/B26</f>
        <v>296.44288442248995</v>
      </c>
      <c r="Q26" s="13">
        <f>$G26/C26</f>
        <v>3347.6432378489535</v>
      </c>
      <c r="R26" s="13">
        <f>$G26/D26</f>
        <v>17.476113381609597</v>
      </c>
    </row>
    <row r="27" spans="1:18" x14ac:dyDescent="0.4">
      <c r="A27" s="17" t="s">
        <v>49</v>
      </c>
      <c r="B27">
        <f>251828430/9831510</f>
        <v>25.614420368793805</v>
      </c>
      <c r="C27">
        <v>8.3103599999999993</v>
      </c>
      <c r="D27">
        <f>6248505300/9831510</f>
        <v>635.55906468080696</v>
      </c>
      <c r="E27" s="17">
        <v>11.7</v>
      </c>
      <c r="F27" s="6">
        <v>0.77281093999999995</v>
      </c>
      <c r="G27">
        <v>52808.152000000002</v>
      </c>
      <c r="J27" s="15">
        <f>E27/B27</f>
        <v>0.45677395121750153</v>
      </c>
      <c r="K27" s="15">
        <f>$E27/C27</f>
        <v>1.4078812470217896</v>
      </c>
      <c r="L27" s="15">
        <f>$E27/D27</f>
        <v>1.8408989266601086E-2</v>
      </c>
      <c r="M27">
        <f>$F27/B27</f>
        <v>3.0170932188710385E-2</v>
      </c>
      <c r="N27">
        <f>$F27/C27</f>
        <v>9.299367777087876E-2</v>
      </c>
      <c r="O27">
        <f>$F27/D27</f>
        <v>1.2159545555189652E-3</v>
      </c>
      <c r="P27" s="13">
        <f>$G27/B27</f>
        <v>2061.6571150029408</v>
      </c>
      <c r="Q27" s="13">
        <f>$G27/C27</f>
        <v>6354.4963154424122</v>
      </c>
      <c r="R27" s="13">
        <f>$G27/D27</f>
        <v>83.089290885216982</v>
      </c>
    </row>
    <row r="28" spans="1:18" x14ac:dyDescent="0.4">
      <c r="A28" s="17" t="s">
        <v>50</v>
      </c>
      <c r="B28">
        <f>12312490/447400</f>
        <v>27.52009387572642</v>
      </c>
      <c r="C28">
        <v>48.461559999999999</v>
      </c>
      <c r="D28">
        <f>178154300/447400</f>
        <v>398.19915064818952</v>
      </c>
      <c r="E28" s="17">
        <v>12.81</v>
      </c>
      <c r="F28" s="17">
        <v>0.27352799999999999</v>
      </c>
      <c r="G28">
        <v>9381.3469999999998</v>
      </c>
      <c r="J28" s="15">
        <f>E28/B28</f>
        <v>0.46547806333243724</v>
      </c>
      <c r="K28" s="15">
        <f>$E28/C28</f>
        <v>0.26433321585190406</v>
      </c>
      <c r="L28" s="15">
        <f>$E28/D28</f>
        <v>3.2169832555262491E-2</v>
      </c>
      <c r="M28">
        <f>$F28/B28</f>
        <v>9.9392102815921059E-3</v>
      </c>
      <c r="N28">
        <f>$F28/C28</f>
        <v>5.6442260628836545E-3</v>
      </c>
      <c r="O28">
        <f>$F28/D28</f>
        <v>6.869125651191131E-4</v>
      </c>
      <c r="P28" s="13">
        <f>$G28/B28</f>
        <v>340.89080663618813</v>
      </c>
      <c r="Q28" s="13">
        <f>$G28/C28</f>
        <v>193.58326475664424</v>
      </c>
      <c r="R28" s="13">
        <f>$G28/D28</f>
        <v>23.559434983045598</v>
      </c>
    </row>
    <row r="29" spans="1:18" x14ac:dyDescent="0.4">
      <c r="A29" s="17"/>
      <c r="E29" s="17"/>
      <c r="F29" s="17"/>
      <c r="I29" t="s">
        <v>156</v>
      </c>
      <c r="J29" s="22">
        <f>MAX(J4:J27)</f>
        <v>3.0060736183536871</v>
      </c>
      <c r="K29" s="22">
        <f t="shared" ref="K29:R29" si="0">MAX(K4:K27)</f>
        <v>2.5196396297434189</v>
      </c>
      <c r="L29" s="22">
        <f t="shared" si="0"/>
        <v>0.22986158160217177</v>
      </c>
      <c r="M29" s="14">
        <f t="shared" si="0"/>
        <v>0.21373211442092277</v>
      </c>
      <c r="N29" s="14">
        <f t="shared" si="0"/>
        <v>0.12214948603127582</v>
      </c>
      <c r="O29" s="14">
        <f t="shared" si="0"/>
        <v>1.6343179874242615E-2</v>
      </c>
      <c r="P29" s="12">
        <f t="shared" si="0"/>
        <v>11138.028608766641</v>
      </c>
      <c r="Q29" s="12">
        <f t="shared" si="0"/>
        <v>6354.4963154424122</v>
      </c>
      <c r="R29" s="12">
        <f t="shared" si="0"/>
        <v>851.67736954608063</v>
      </c>
    </row>
    <row r="30" spans="1:18" x14ac:dyDescent="0.4">
      <c r="I30" s="14"/>
      <c r="J30" s="14" t="s">
        <v>151</v>
      </c>
      <c r="M30" t="s">
        <v>5</v>
      </c>
      <c r="P30" t="s">
        <v>155</v>
      </c>
    </row>
    <row r="31" spans="1:18" x14ac:dyDescent="0.4">
      <c r="J31" t="s">
        <v>190</v>
      </c>
      <c r="K31" t="s">
        <v>157</v>
      </c>
      <c r="L31" t="s">
        <v>158</v>
      </c>
      <c r="M31" t="s">
        <v>159</v>
      </c>
      <c r="N31" t="s">
        <v>160</v>
      </c>
      <c r="O31" t="s">
        <v>161</v>
      </c>
      <c r="P31" t="s">
        <v>162</v>
      </c>
      <c r="Q31" t="s">
        <v>163</v>
      </c>
      <c r="R31" t="s">
        <v>164</v>
      </c>
    </row>
    <row r="32" spans="1:18" x14ac:dyDescent="0.4">
      <c r="I32" s="23" t="s">
        <v>174</v>
      </c>
      <c r="J32">
        <f>J4/J$29</f>
        <v>4.5128131850496619E-2</v>
      </c>
      <c r="K32">
        <f t="shared" ref="K32:L32" si="1">K4/K$29</f>
        <v>0.11854586648466482</v>
      </c>
      <c r="L32">
        <f t="shared" si="1"/>
        <v>7.3169747562084539E-2</v>
      </c>
      <c r="M32">
        <f>M4/M$29</f>
        <v>5.5332394609996213E-2</v>
      </c>
      <c r="N32">
        <f>N4/N$29</f>
        <v>0.2131746123076774</v>
      </c>
      <c r="O32">
        <f>O4/O$29</f>
        <v>8.9714711857156487E-2</v>
      </c>
      <c r="P32">
        <f>P4/P$29</f>
        <v>2.1894626230171063E-2</v>
      </c>
      <c r="Q32">
        <f>Q4/Q$29</f>
        <v>8.449725693666095E-2</v>
      </c>
      <c r="R32">
        <f>R4/R$29</f>
        <v>3.549945917404914E-2</v>
      </c>
    </row>
    <row r="33" spans="9:18" x14ac:dyDescent="0.4">
      <c r="I33" s="14" t="s">
        <v>165</v>
      </c>
      <c r="J33">
        <f t="shared" ref="J33:L33" si="2">J5/J$29</f>
        <v>4.9537258207881449E-2</v>
      </c>
      <c r="K33">
        <f t="shared" si="2"/>
        <v>0.49671214980516265</v>
      </c>
      <c r="L33">
        <f>L5/L$29</f>
        <v>0.16701455004435414</v>
      </c>
      <c r="M33">
        <f t="shared" ref="M33:R33" si="3">M5/M$29</f>
        <v>1.2875685683045129E-2</v>
      </c>
      <c r="N33">
        <f t="shared" si="3"/>
        <v>0.18934774634737575</v>
      </c>
      <c r="O33">
        <f t="shared" si="3"/>
        <v>4.3410292144997614E-2</v>
      </c>
      <c r="P33">
        <f t="shared" si="3"/>
        <v>1.1739250314640728E-2</v>
      </c>
      <c r="Q33">
        <f t="shared" si="3"/>
        <v>0.17293352572920032</v>
      </c>
      <c r="R33">
        <f t="shared" si="3"/>
        <v>3.9578807549866084E-2</v>
      </c>
    </row>
    <row r="34" spans="9:18" x14ac:dyDescent="0.4">
      <c r="I34" s="23" t="s">
        <v>175</v>
      </c>
      <c r="J34">
        <f t="shared" ref="J34:R34" si="4">J6/J$29</f>
        <v>1.3894511494224791E-2</v>
      </c>
      <c r="K34">
        <f t="shared" si="4"/>
        <v>0.37928243156212876</v>
      </c>
      <c r="L34">
        <f t="shared" si="4"/>
        <v>1.3386599415474801E-2</v>
      </c>
      <c r="M34">
        <f t="shared" si="4"/>
        <v>1.0968040505418527E-2</v>
      </c>
      <c r="N34">
        <f t="shared" si="4"/>
        <v>0.43910203149491706</v>
      </c>
      <c r="O34">
        <f t="shared" si="4"/>
        <v>1.0567105196880569E-2</v>
      </c>
      <c r="P34">
        <f t="shared" si="4"/>
        <v>1.1572287636399744E-2</v>
      </c>
      <c r="Q34">
        <f t="shared" si="4"/>
        <v>0.46409263789776056</v>
      </c>
      <c r="R34">
        <f t="shared" si="4"/>
        <v>1.114926415178572E-2</v>
      </c>
    </row>
    <row r="35" spans="9:18" x14ac:dyDescent="0.4">
      <c r="I35" s="23" t="s">
        <v>173</v>
      </c>
      <c r="J35">
        <f t="shared" ref="J35:R35" si="5">J7/J$29</f>
        <v>0.1307903815923111</v>
      </c>
      <c r="K35">
        <f t="shared" si="5"/>
        <v>0.26501508126970119</v>
      </c>
      <c r="L35">
        <f t="shared" si="5"/>
        <v>0.11072799716325785</v>
      </c>
      <c r="M35">
        <f t="shared" si="5"/>
        <v>7.3464383536781225E-2</v>
      </c>
      <c r="N35">
        <f t="shared" si="5"/>
        <v>0.21831751404289221</v>
      </c>
      <c r="O35">
        <f t="shared" si="5"/>
        <v>6.2195430220683842E-2</v>
      </c>
      <c r="P35">
        <f t="shared" si="5"/>
        <v>4.192004538429471E-2</v>
      </c>
      <c r="Q35">
        <f t="shared" si="5"/>
        <v>0.12479079214662027</v>
      </c>
      <c r="R35">
        <f t="shared" si="5"/>
        <v>3.5489786098068105E-2</v>
      </c>
    </row>
    <row r="36" spans="9:18" x14ac:dyDescent="0.4">
      <c r="I36" s="14" t="s">
        <v>166</v>
      </c>
      <c r="J36">
        <f t="shared" ref="J36:R36" si="6">J8/J$29</f>
        <v>0.78210039878294813</v>
      </c>
      <c r="K36">
        <f t="shared" si="6"/>
        <v>0.55368789634840265</v>
      </c>
      <c r="L36">
        <f t="shared" si="6"/>
        <v>0.50545865872544526</v>
      </c>
      <c r="M36">
        <f t="shared" si="6"/>
        <v>0.86072175554219743</v>
      </c>
      <c r="N36">
        <f t="shared" si="6"/>
        <v>0.89368045395476525</v>
      </c>
      <c r="O36">
        <f t="shared" si="6"/>
        <v>0.55627035195120667</v>
      </c>
      <c r="P36">
        <f t="shared" si="6"/>
        <v>0.92558374053677472</v>
      </c>
      <c r="Q36">
        <f t="shared" si="6"/>
        <v>0.96268511004067148</v>
      </c>
      <c r="R36">
        <f t="shared" si="6"/>
        <v>0.59818958890422058</v>
      </c>
    </row>
    <row r="37" spans="9:18" x14ac:dyDescent="0.4">
      <c r="I37" s="23" t="s">
        <v>176</v>
      </c>
      <c r="J37">
        <f t="shared" ref="J37:R37" si="7">J9/J$29</f>
        <v>3.8308490686160254E-2</v>
      </c>
      <c r="K37">
        <f t="shared" si="7"/>
        <v>0.11176926143477549</v>
      </c>
      <c r="L37">
        <f t="shared" si="7"/>
        <v>2.2426607436107793E-2</v>
      </c>
      <c r="M37">
        <f t="shared" si="7"/>
        <v>8.6537695251253044E-2</v>
      </c>
      <c r="N37">
        <f t="shared" si="7"/>
        <v>0.37029651144778847</v>
      </c>
      <c r="O37">
        <f t="shared" si="7"/>
        <v>5.0661012351669518E-2</v>
      </c>
      <c r="P37">
        <f t="shared" si="7"/>
        <v>6.0873784259229929E-2</v>
      </c>
      <c r="Q37">
        <f t="shared" si="7"/>
        <v>0.26092978443685633</v>
      </c>
      <c r="R37">
        <f t="shared" si="7"/>
        <v>3.5636811533931612E-2</v>
      </c>
    </row>
    <row r="38" spans="9:18" x14ac:dyDescent="0.4">
      <c r="I38" s="14" t="s">
        <v>167</v>
      </c>
      <c r="J38">
        <f t="shared" ref="J38:R38" si="8">J10/J$29</f>
        <v>9.7437385685780961E-2</v>
      </c>
      <c r="K38">
        <f t="shared" si="8"/>
        <v>0.54198876962749609</v>
      </c>
      <c r="L38">
        <f t="shared" si="8"/>
        <v>6.8488798463175432E-2</v>
      </c>
      <c r="M38">
        <f t="shared" si="8"/>
        <v>3.9189129578332364E-2</v>
      </c>
      <c r="N38">
        <f t="shared" si="8"/>
        <v>0.31970338812690424</v>
      </c>
      <c r="O38">
        <f t="shared" si="8"/>
        <v>2.7546063338492785E-2</v>
      </c>
      <c r="P38">
        <f t="shared" si="8"/>
        <v>3.1264301707816418E-2</v>
      </c>
      <c r="Q38">
        <f t="shared" si="8"/>
        <v>0.25549323951432651</v>
      </c>
      <c r="R38">
        <f t="shared" si="8"/>
        <v>2.1975696943098744E-2</v>
      </c>
    </row>
    <row r="39" spans="9:18" x14ac:dyDescent="0.4">
      <c r="I39" s="14" t="s">
        <v>168</v>
      </c>
      <c r="J39">
        <f t="shared" ref="J39:R39" si="9">J11/J$29</f>
        <v>0.22491694575955853</v>
      </c>
      <c r="K39">
        <f t="shared" si="9"/>
        <v>1</v>
      </c>
      <c r="L39">
        <f t="shared" si="9"/>
        <v>0.24495575295940744</v>
      </c>
      <c r="M39">
        <f t="shared" si="9"/>
        <v>0.15335757088210578</v>
      </c>
      <c r="N39">
        <f t="shared" si="9"/>
        <v>1</v>
      </c>
      <c r="O39">
        <f t="shared" si="9"/>
        <v>0.16702084905425782</v>
      </c>
      <c r="P39">
        <f t="shared" si="9"/>
        <v>0.15294419208579016</v>
      </c>
      <c r="Q39">
        <f t="shared" si="9"/>
        <v>0.99902608366378831</v>
      </c>
      <c r="R39">
        <f t="shared" si="9"/>
        <v>0.16657064058300641</v>
      </c>
    </row>
    <row r="40" spans="9:18" x14ac:dyDescent="0.4">
      <c r="I40" s="23" t="s">
        <v>177</v>
      </c>
      <c r="J40">
        <f t="shared" ref="J40:R40" si="10">J12/J$29</f>
        <v>4.8468275834530825E-2</v>
      </c>
      <c r="K40">
        <f t="shared" si="10"/>
        <v>0.33911019526665986</v>
      </c>
      <c r="L40">
        <f t="shared" si="10"/>
        <v>6.1954609132174258E-2</v>
      </c>
      <c r="M40">
        <f t="shared" si="10"/>
        <v>4.8348507930463053E-2</v>
      </c>
      <c r="N40">
        <f t="shared" si="10"/>
        <v>0.49611608585043931</v>
      </c>
      <c r="O40">
        <f t="shared" si="10"/>
        <v>6.1801515720961715E-2</v>
      </c>
      <c r="P40">
        <f t="shared" si="10"/>
        <v>4.6502848615083518E-2</v>
      </c>
      <c r="Q40">
        <f t="shared" si="10"/>
        <v>0.47800104760910361</v>
      </c>
      <c r="R40">
        <f t="shared" si="10"/>
        <v>5.9442300347469307E-2</v>
      </c>
    </row>
    <row r="41" spans="9:18" x14ac:dyDescent="0.4">
      <c r="I41" s="23" t="s">
        <v>178</v>
      </c>
      <c r="J41">
        <f t="shared" ref="J41:R41" si="11">J13/J$29</f>
        <v>7.9458066735208929E-2</v>
      </c>
      <c r="K41">
        <f t="shared" si="11"/>
        <v>0.20006342414568851</v>
      </c>
      <c r="L41">
        <f t="shared" si="11"/>
        <v>5.6393148743806291E-2</v>
      </c>
      <c r="M41">
        <f t="shared" si="11"/>
        <v>8.7116902464900517E-2</v>
      </c>
      <c r="N41">
        <f t="shared" si="11"/>
        <v>0.32169853649249541</v>
      </c>
      <c r="O41">
        <f t="shared" si="11"/>
        <v>6.1828793987330585E-2</v>
      </c>
      <c r="P41">
        <f t="shared" si="11"/>
        <v>5.8712145911287025E-2</v>
      </c>
      <c r="Q41">
        <f t="shared" si="11"/>
        <v>0.2171819221740075</v>
      </c>
      <c r="R41">
        <f t="shared" si="11"/>
        <v>4.1669309529980499E-2</v>
      </c>
    </row>
    <row r="42" spans="9:18" x14ac:dyDescent="0.4">
      <c r="I42" s="23" t="s">
        <v>179</v>
      </c>
      <c r="J42">
        <f t="shared" ref="J42:R42" si="12">J14/J$29</f>
        <v>0.11310969229300857</v>
      </c>
      <c r="K42">
        <f t="shared" si="12"/>
        <v>0.15580287601634801</v>
      </c>
      <c r="L42">
        <f t="shared" si="12"/>
        <v>0.29226007707221691</v>
      </c>
      <c r="M42">
        <f t="shared" si="12"/>
        <v>9.9768476334631206E-2</v>
      </c>
      <c r="N42">
        <f t="shared" si="12"/>
        <v>0.20155145864133306</v>
      </c>
      <c r="O42">
        <f t="shared" si="12"/>
        <v>0.2577881876594873</v>
      </c>
      <c r="P42">
        <f t="shared" si="12"/>
        <v>3.6624698568704095E-2</v>
      </c>
      <c r="Q42">
        <f t="shared" si="12"/>
        <v>7.4116640102088668E-2</v>
      </c>
      <c r="R42">
        <f t="shared" si="12"/>
        <v>9.4633245033571664E-2</v>
      </c>
    </row>
    <row r="43" spans="9:18" x14ac:dyDescent="0.4">
      <c r="I43" s="14" t="s">
        <v>169</v>
      </c>
      <c r="J43">
        <f t="shared" ref="J43:R43" si="13">J15/J$29</f>
        <v>1</v>
      </c>
      <c r="K43">
        <f t="shared" si="13"/>
        <v>0.66229220440951175</v>
      </c>
      <c r="L43">
        <f t="shared" si="13"/>
        <v>1</v>
      </c>
      <c r="M43">
        <f t="shared" si="13"/>
        <v>1</v>
      </c>
      <c r="N43">
        <f t="shared" si="13"/>
        <v>0.97132954675362404</v>
      </c>
      <c r="O43">
        <f t="shared" si="13"/>
        <v>1</v>
      </c>
      <c r="P43">
        <f t="shared" si="13"/>
        <v>1</v>
      </c>
      <c r="Q43">
        <f t="shared" si="13"/>
        <v>0.97300631353635914</v>
      </c>
      <c r="R43">
        <f t="shared" si="13"/>
        <v>1</v>
      </c>
    </row>
    <row r="44" spans="9:18" x14ac:dyDescent="0.4">
      <c r="I44" s="23" t="s">
        <v>180</v>
      </c>
      <c r="J44">
        <f t="shared" ref="J44:R44" si="14">J16/J$29</f>
        <v>3.3612098709566322E-2</v>
      </c>
      <c r="K44">
        <f t="shared" si="14"/>
        <v>0.23422574900007964</v>
      </c>
      <c r="L44">
        <f t="shared" si="14"/>
        <v>1.4962974262305159E-2</v>
      </c>
      <c r="M44">
        <f t="shared" si="14"/>
        <v>2.723223841066235E-2</v>
      </c>
      <c r="N44">
        <f t="shared" si="14"/>
        <v>0.27831672361682075</v>
      </c>
      <c r="O44">
        <f t="shared" si="14"/>
        <v>1.2122875336187423E-2</v>
      </c>
      <c r="P44">
        <f t="shared" si="14"/>
        <v>2.2040597858914983E-2</v>
      </c>
      <c r="Q44">
        <f t="shared" si="14"/>
        <v>0.2256463910959309</v>
      </c>
      <c r="R44">
        <f t="shared" si="14"/>
        <v>9.8117318212831775E-3</v>
      </c>
    </row>
    <row r="45" spans="9:18" x14ac:dyDescent="0.4">
      <c r="I45" s="23" t="s">
        <v>181</v>
      </c>
      <c r="J45">
        <f t="shared" ref="J45:R45" si="15">J17/J$29</f>
        <v>8.7760702949101377E-2</v>
      </c>
      <c r="K45">
        <f t="shared" si="15"/>
        <v>0.33078508948835472</v>
      </c>
      <c r="L45">
        <f t="shared" si="15"/>
        <v>4.7560334295151545E-2</v>
      </c>
      <c r="M45">
        <f t="shared" si="15"/>
        <v>6.0544811047715197E-2</v>
      </c>
      <c r="N45">
        <f t="shared" si="15"/>
        <v>0.33468767260114701</v>
      </c>
      <c r="O45">
        <f t="shared" si="15"/>
        <v>3.2811171247524779E-2</v>
      </c>
      <c r="P45">
        <f t="shared" si="15"/>
        <v>5.5301406652192853E-2</v>
      </c>
      <c r="Q45">
        <f t="shared" si="15"/>
        <v>0.30623020502248877</v>
      </c>
      <c r="R45">
        <f t="shared" si="15"/>
        <v>2.9969602555437829E-2</v>
      </c>
    </row>
    <row r="46" spans="9:18" x14ac:dyDescent="0.4">
      <c r="I46" s="23" t="s">
        <v>182</v>
      </c>
      <c r="J46">
        <f t="shared" ref="J46:R46" si="16">J18/J$29</f>
        <v>0.84161338435477306</v>
      </c>
      <c r="K46">
        <f t="shared" si="16"/>
        <v>0.13232932151858745</v>
      </c>
      <c r="L46">
        <f t="shared" si="16"/>
        <v>0.3299782030786052</v>
      </c>
      <c r="M46">
        <f t="shared" si="16"/>
        <v>0.42827221570843393</v>
      </c>
      <c r="N46">
        <f t="shared" si="16"/>
        <v>9.8759824405711821E-2</v>
      </c>
      <c r="O46">
        <f t="shared" si="16"/>
        <v>0.16791617005509701</v>
      </c>
      <c r="P46">
        <f t="shared" si="16"/>
        <v>0.52549603027987979</v>
      </c>
      <c r="Q46">
        <f t="shared" si="16"/>
        <v>0.12138888071872399</v>
      </c>
      <c r="R46">
        <f t="shared" si="16"/>
        <v>0.20603550159748785</v>
      </c>
    </row>
    <row r="47" spans="9:18" x14ac:dyDescent="0.4">
      <c r="I47" s="14" t="s">
        <v>170</v>
      </c>
      <c r="J47">
        <f t="shared" ref="J47:R47" si="17">J19/J$29</f>
        <v>5.9344258464440497E-2</v>
      </c>
      <c r="K47">
        <f t="shared" si="17"/>
        <v>0.59718418109854066</v>
      </c>
      <c r="L47">
        <f t="shared" si="17"/>
        <v>0.19273335182422838</v>
      </c>
      <c r="M47">
        <f t="shared" si="17"/>
        <v>3.2220804007169167E-2</v>
      </c>
      <c r="N47">
        <f t="shared" si="17"/>
        <v>0.47553547110117833</v>
      </c>
      <c r="O47">
        <f t="shared" si="17"/>
        <v>0.10464405008100881</v>
      </c>
      <c r="P47">
        <f t="shared" si="17"/>
        <v>2.2306749054334885E-2</v>
      </c>
      <c r="Q47">
        <f t="shared" si="17"/>
        <v>0.32978574881050415</v>
      </c>
      <c r="R47">
        <f t="shared" si="17"/>
        <v>7.2446006147672118E-2</v>
      </c>
    </row>
    <row r="48" spans="9:18" x14ac:dyDescent="0.4">
      <c r="I48" s="23" t="s">
        <v>183</v>
      </c>
      <c r="J48">
        <f t="shared" ref="J48:R48" si="18">J20/J$29</f>
        <v>1.5932418195990238E-2</v>
      </c>
      <c r="K48">
        <f t="shared" si="18"/>
        <v>0.2134391133173133</v>
      </c>
      <c r="L48">
        <f t="shared" si="18"/>
        <v>5.4110026197247149E-3</v>
      </c>
      <c r="M48">
        <f t="shared" si="18"/>
        <v>2.0392006747459349E-2</v>
      </c>
      <c r="N48">
        <f t="shared" si="18"/>
        <v>0.40065376982752637</v>
      </c>
      <c r="O48">
        <f t="shared" si="18"/>
        <v>6.9255778108885261E-3</v>
      </c>
      <c r="P48">
        <f t="shared" si="18"/>
        <v>1.6684450878801296E-2</v>
      </c>
      <c r="Q48">
        <f t="shared" si="18"/>
        <v>0.32837511927667606</v>
      </c>
      <c r="R48">
        <f t="shared" si="18"/>
        <v>5.6664095998046988E-3</v>
      </c>
    </row>
    <row r="49" spans="9:18" x14ac:dyDescent="0.4">
      <c r="I49" s="23" t="s">
        <v>184</v>
      </c>
      <c r="J49">
        <f t="shared" ref="J49:R49" si="19">J21/J$29</f>
        <v>1.1731991763472492E-2</v>
      </c>
      <c r="K49">
        <f t="shared" si="19"/>
        <v>0.34058908417902556</v>
      </c>
      <c r="L49">
        <f t="shared" si="19"/>
        <v>9.3848443107845299E-3</v>
      </c>
      <c r="M49">
        <f t="shared" si="19"/>
        <v>1.1348916386528393E-2</v>
      </c>
      <c r="N49">
        <f t="shared" si="19"/>
        <v>0.48320378582026463</v>
      </c>
      <c r="O49">
        <f t="shared" si="19"/>
        <v>9.0784084689943222E-3</v>
      </c>
      <c r="P49">
        <f t="shared" si="19"/>
        <v>1.3167644504814658E-2</v>
      </c>
      <c r="Q49">
        <f t="shared" si="19"/>
        <v>0.56160773877414061</v>
      </c>
      <c r="R49">
        <f t="shared" si="19"/>
        <v>1.0533274835923196E-2</v>
      </c>
    </row>
    <row r="50" spans="9:18" x14ac:dyDescent="0.4">
      <c r="I50" s="23" t="s">
        <v>185</v>
      </c>
      <c r="J50">
        <f t="shared" ref="J50:R50" si="20">J22/J$29</f>
        <v>0.11094180843044603</v>
      </c>
      <c r="K50">
        <f t="shared" si="20"/>
        <v>0.55538449587279215</v>
      </c>
      <c r="L50">
        <f t="shared" si="20"/>
        <v>7.6821867120393614E-2</v>
      </c>
      <c r="M50">
        <f t="shared" si="20"/>
        <v>8.0311032232016771E-2</v>
      </c>
      <c r="N50">
        <f t="shared" si="20"/>
        <v>0.58964507482189332</v>
      </c>
      <c r="O50">
        <f t="shared" si="20"/>
        <v>5.5611527644221184E-2</v>
      </c>
      <c r="P50">
        <f t="shared" si="20"/>
        <v>6.162041388356234E-2</v>
      </c>
      <c r="Q50">
        <f t="shared" si="20"/>
        <v>0.45319920256096891</v>
      </c>
      <c r="R50">
        <f t="shared" si="20"/>
        <v>4.2669173274153843E-2</v>
      </c>
    </row>
    <row r="51" spans="9:18" x14ac:dyDescent="0.4">
      <c r="I51" s="23" t="s">
        <v>186</v>
      </c>
      <c r="J51">
        <f t="shared" ref="J51:R51" si="21">J23/J$29</f>
        <v>0.12543862919206231</v>
      </c>
      <c r="K51">
        <f t="shared" si="21"/>
        <v>0.23139596659109865</v>
      </c>
      <c r="L51">
        <f t="shared" si="21"/>
        <v>0.12536823251255902</v>
      </c>
      <c r="M51">
        <f t="shared" si="21"/>
        <v>5.691373755025652E-2</v>
      </c>
      <c r="N51">
        <f t="shared" si="21"/>
        <v>0.15397795543191656</v>
      </c>
      <c r="O51">
        <f t="shared" si="21"/>
        <v>5.6881797324446773E-2</v>
      </c>
      <c r="P51">
        <f t="shared" si="21"/>
        <v>2.9829640358614691E-2</v>
      </c>
      <c r="Q51">
        <f t="shared" si="21"/>
        <v>8.0842273342580803E-2</v>
      </c>
      <c r="R51">
        <f t="shared" si="21"/>
        <v>2.9812899840597644E-2</v>
      </c>
    </row>
    <row r="52" spans="9:18" x14ac:dyDescent="0.4">
      <c r="I52" s="23" t="s">
        <v>187</v>
      </c>
      <c r="J52">
        <f t="shared" ref="J52:R52" si="22">J24/J$29</f>
        <v>9.8702878390242291E-2</v>
      </c>
      <c r="K52">
        <f t="shared" si="22"/>
        <v>0.40813706873306727</v>
      </c>
      <c r="L52">
        <f t="shared" si="22"/>
        <v>6.6798828983154368E-2</v>
      </c>
      <c r="M52">
        <f t="shared" si="22"/>
        <v>4.6448256601696505E-2</v>
      </c>
      <c r="N52">
        <f t="shared" si="22"/>
        <v>0.28168427127251844</v>
      </c>
      <c r="O52">
        <f t="shared" si="22"/>
        <v>3.1434636962007025E-2</v>
      </c>
      <c r="P52">
        <f t="shared" si="22"/>
        <v>3.3516865689322495E-2</v>
      </c>
      <c r="Q52">
        <f t="shared" si="22"/>
        <v>0.2036130631020307</v>
      </c>
      <c r="R52">
        <f t="shared" si="22"/>
        <v>2.2683101199749228E-2</v>
      </c>
    </row>
    <row r="53" spans="9:18" x14ac:dyDescent="0.4">
      <c r="I53" s="23" t="s">
        <v>188</v>
      </c>
      <c r="J53">
        <f t="shared" ref="J53:R53" si="23">J25/J$29</f>
        <v>8.9576698446365732E-2</v>
      </c>
      <c r="K53">
        <f t="shared" si="23"/>
        <v>0.4033043002501116</v>
      </c>
      <c r="L53">
        <f t="shared" si="23"/>
        <v>7.6690020751057991E-2</v>
      </c>
      <c r="M53">
        <f t="shared" si="23"/>
        <v>7.4317665929580445E-2</v>
      </c>
      <c r="N53">
        <f t="shared" si="23"/>
        <v>0.49073475768146768</v>
      </c>
      <c r="O53">
        <f t="shared" si="23"/>
        <v>6.3626182267950665E-2</v>
      </c>
      <c r="P53">
        <f t="shared" si="23"/>
        <v>6.8646215214963044E-2</v>
      </c>
      <c r="Q53">
        <f t="shared" si="23"/>
        <v>0.45406749543316022</v>
      </c>
      <c r="R53">
        <f t="shared" si="23"/>
        <v>5.8770637460692166E-2</v>
      </c>
    </row>
    <row r="54" spans="9:18" x14ac:dyDescent="0.4">
      <c r="I54" s="14" t="s">
        <v>171</v>
      </c>
      <c r="J54">
        <f t="shared" ref="J54:R54" si="24">J26/J$29</f>
        <v>2.4692715885599858E-2</v>
      </c>
      <c r="K54">
        <f t="shared" si="24"/>
        <v>0.33268113873381017</v>
      </c>
      <c r="L54">
        <f t="shared" si="24"/>
        <v>1.903732413281228E-2</v>
      </c>
      <c r="M54">
        <f t="shared" si="24"/>
        <v>2.9218959598320098E-2</v>
      </c>
      <c r="N54">
        <f t="shared" si="24"/>
        <v>0.57735246498532344</v>
      </c>
      <c r="O54">
        <f t="shared" si="24"/>
        <v>2.252691875911296E-2</v>
      </c>
      <c r="P54">
        <f t="shared" si="24"/>
        <v>2.6615381844966934E-2</v>
      </c>
      <c r="Q54">
        <f t="shared" si="24"/>
        <v>0.52681488377193031</v>
      </c>
      <c r="R54">
        <f t="shared" si="24"/>
        <v>2.0519640425486308E-2</v>
      </c>
    </row>
    <row r="55" spans="9:18" x14ac:dyDescent="0.4">
      <c r="I55" s="14" t="s">
        <v>172</v>
      </c>
      <c r="J55">
        <f t="shared" ref="J55:R55" si="25">J27/J$29</f>
        <v>0.15195035425235506</v>
      </c>
      <c r="K55">
        <f t="shared" si="25"/>
        <v>0.55876293990706827</v>
      </c>
      <c r="L55">
        <f t="shared" si="25"/>
        <v>8.008728182538162E-2</v>
      </c>
      <c r="M55">
        <f t="shared" si="25"/>
        <v>0.14116237174022397</v>
      </c>
      <c r="N55">
        <f t="shared" si="25"/>
        <v>0.76131043029577838</v>
      </c>
      <c r="O55">
        <f t="shared" si="25"/>
        <v>7.4401344467568964E-2</v>
      </c>
      <c r="P55">
        <f t="shared" si="25"/>
        <v>0.185100720012537</v>
      </c>
      <c r="Q55">
        <f t="shared" si="25"/>
        <v>1</v>
      </c>
      <c r="R55">
        <f t="shared" si="25"/>
        <v>9.7559585185997333E-2</v>
      </c>
    </row>
    <row r="56" spans="9:18" x14ac:dyDescent="0.4">
      <c r="I56" s="23" t="s">
        <v>189</v>
      </c>
      <c r="J56">
        <f t="shared" ref="J56:R56" si="26">J28/J$29</f>
        <v>0.15484586288587368</v>
      </c>
      <c r="K56">
        <f t="shared" si="26"/>
        <v>0.10490913570795907</v>
      </c>
      <c r="L56">
        <f t="shared" si="26"/>
        <v>0.13995306362652535</v>
      </c>
      <c r="M56">
        <f t="shared" si="26"/>
        <v>4.6503120546582365E-2</v>
      </c>
      <c r="N56">
        <f t="shared" si="26"/>
        <v>4.6207530185092029E-2</v>
      </c>
      <c r="O56">
        <f t="shared" si="26"/>
        <v>4.2030533250246464E-2</v>
      </c>
      <c r="P56">
        <f t="shared" si="26"/>
        <v>3.0606027207353021E-2</v>
      </c>
      <c r="Q56">
        <f t="shared" si="26"/>
        <v>3.0463982532526909E-2</v>
      </c>
      <c r="R56">
        <f t="shared" si="26"/>
        <v>2.7662394030267698E-2</v>
      </c>
    </row>
    <row r="57" spans="9:18" x14ac:dyDescent="0.4">
      <c r="I57" s="17"/>
    </row>
  </sheetData>
  <conditionalFormatting sqref="A4">
    <cfRule type="duplicateValues" dxfId="21" priority="18"/>
  </conditionalFormatting>
  <conditionalFormatting sqref="A4:A12 A14:A29">
    <cfRule type="duplicateValues" dxfId="20" priority="19"/>
    <cfRule type="duplicateValues" dxfId="19" priority="20"/>
    <cfRule type="duplicateValues" dxfId="18" priority="21"/>
  </conditionalFormatting>
  <conditionalFormatting sqref="A13">
    <cfRule type="duplicateValues" dxfId="17" priority="15"/>
    <cfRule type="duplicateValues" dxfId="16" priority="16"/>
    <cfRule type="duplicateValues" dxfId="15" priority="17"/>
  </conditionalFormatting>
  <conditionalFormatting sqref="I32">
    <cfRule type="duplicateValues" dxfId="14" priority="11"/>
  </conditionalFormatting>
  <conditionalFormatting sqref="I32">
    <cfRule type="duplicateValues" dxfId="13" priority="12"/>
    <cfRule type="duplicateValues" dxfId="12" priority="13"/>
    <cfRule type="duplicateValues" dxfId="11" priority="14"/>
  </conditionalFormatting>
  <conditionalFormatting sqref="I32:I33">
    <cfRule type="duplicateValues" dxfId="10" priority="4"/>
  </conditionalFormatting>
  <conditionalFormatting sqref="I32:I57">
    <cfRule type="duplicateValues" dxfId="9" priority="5"/>
    <cfRule type="duplicateValues" dxfId="8" priority="6"/>
    <cfRule type="duplicateValues" dxfId="7" priority="7"/>
  </conditionalFormatting>
  <conditionalFormatting sqref="I41:I42">
    <cfRule type="duplicateValues" dxfId="6" priority="1"/>
    <cfRule type="duplicateValues" dxfId="5" priority="2"/>
    <cfRule type="duplicateValues" dxfId="4" priority="3"/>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N10"/>
  <sheetViews>
    <sheetView zoomScale="58" workbookViewId="0"/>
  </sheetViews>
  <sheetFormatPr defaultRowHeight="14.6" x14ac:dyDescent="0.4"/>
  <cols>
    <col min="1" max="1" width="26" customWidth="1"/>
    <col min="2" max="2" width="53.15234375" customWidth="1"/>
    <col min="3" max="3" width="83" customWidth="1"/>
    <col min="4" max="4" width="23.3828125" customWidth="1"/>
    <col min="5" max="5" width="31" customWidth="1"/>
    <col min="6" max="6" width="44.15234375" style="8" customWidth="1"/>
    <col min="8" max="8" width="9.3046875" style="8" customWidth="1"/>
    <col min="9" max="9" width="15.84375" style="8" customWidth="1"/>
    <col min="10" max="10" width="11.3828125" style="8" customWidth="1"/>
    <col min="11" max="11" width="19.84375" style="8" customWidth="1"/>
    <col min="12" max="12" width="12.3828125" style="8" customWidth="1"/>
    <col min="13" max="13" width="9.3046875" style="8" customWidth="1"/>
  </cols>
  <sheetData>
    <row r="1" spans="1:14" ht="29.15" customHeight="1" x14ac:dyDescent="0.4">
      <c r="A1" s="7" t="s">
        <v>51</v>
      </c>
      <c r="B1" s="1" t="s">
        <v>52</v>
      </c>
      <c r="C1" s="1" t="s">
        <v>53</v>
      </c>
      <c r="D1" s="1" t="s">
        <v>54</v>
      </c>
      <c r="E1" s="1" t="s">
        <v>55</v>
      </c>
      <c r="F1" s="1" t="s">
        <v>56</v>
      </c>
      <c r="G1" s="1" t="s">
        <v>57</v>
      </c>
      <c r="H1" s="7" t="s">
        <v>58</v>
      </c>
      <c r="I1" s="7" t="s">
        <v>59</v>
      </c>
      <c r="J1" s="7" t="s">
        <v>60</v>
      </c>
      <c r="K1" s="7" t="s">
        <v>61</v>
      </c>
      <c r="L1" s="7" t="s">
        <v>62</v>
      </c>
      <c r="M1" s="7" t="s">
        <v>63</v>
      </c>
      <c r="N1" s="8"/>
    </row>
    <row r="2" spans="1:14" ht="87.45" customHeight="1" x14ac:dyDescent="0.4">
      <c r="A2" s="7" t="s">
        <v>64</v>
      </c>
      <c r="B2" s="1" t="s">
        <v>65</v>
      </c>
      <c r="C2" s="1" t="s">
        <v>66</v>
      </c>
      <c r="D2" s="1" t="s">
        <v>67</v>
      </c>
      <c r="E2" s="1"/>
      <c r="F2" s="7" t="s">
        <v>68</v>
      </c>
      <c r="G2" s="1" t="s">
        <v>69</v>
      </c>
      <c r="H2" s="7" t="s">
        <v>70</v>
      </c>
      <c r="I2" s="7"/>
      <c r="J2" s="7"/>
      <c r="K2" s="7" t="s">
        <v>71</v>
      </c>
      <c r="L2" s="7" t="s">
        <v>72</v>
      </c>
      <c r="M2" s="7" t="s">
        <v>73</v>
      </c>
      <c r="N2" s="8"/>
    </row>
    <row r="3" spans="1:14" ht="145.75" customHeight="1" x14ac:dyDescent="0.4">
      <c r="A3" s="7"/>
      <c r="B3" s="1" t="s">
        <v>74</v>
      </c>
      <c r="C3" s="1" t="s">
        <v>75</v>
      </c>
      <c r="D3" s="1" t="s">
        <v>76</v>
      </c>
      <c r="E3" s="1"/>
      <c r="F3" s="7" t="s">
        <v>77</v>
      </c>
      <c r="G3" s="1" t="s">
        <v>78</v>
      </c>
      <c r="H3" s="7" t="s">
        <v>79</v>
      </c>
      <c r="I3" s="7"/>
      <c r="J3" s="7"/>
      <c r="K3" s="7" t="s">
        <v>71</v>
      </c>
      <c r="L3" s="7" t="s">
        <v>72</v>
      </c>
      <c r="M3" s="7" t="s">
        <v>80</v>
      </c>
      <c r="N3" s="8"/>
    </row>
    <row r="4" spans="1:14" ht="160.4" customHeight="1" x14ac:dyDescent="0.4">
      <c r="A4" s="7"/>
      <c r="B4" s="1" t="s">
        <v>81</v>
      </c>
      <c r="C4" s="1" t="s">
        <v>75</v>
      </c>
      <c r="D4" s="1" t="s">
        <v>82</v>
      </c>
      <c r="E4" s="1"/>
      <c r="F4" s="7" t="s">
        <v>83</v>
      </c>
      <c r="G4" s="1" t="s">
        <v>78</v>
      </c>
      <c r="H4" s="7" t="s">
        <v>84</v>
      </c>
      <c r="I4" s="7"/>
      <c r="J4" s="7"/>
      <c r="K4" s="7" t="s">
        <v>71</v>
      </c>
      <c r="L4" s="7" t="s">
        <v>72</v>
      </c>
      <c r="M4" s="7" t="s">
        <v>80</v>
      </c>
      <c r="N4" s="8"/>
    </row>
    <row r="5" spans="1:14" ht="102" customHeight="1" x14ac:dyDescent="0.4">
      <c r="A5" s="7"/>
      <c r="B5" s="1" t="s">
        <v>85</v>
      </c>
      <c r="C5" s="1" t="s">
        <v>75</v>
      </c>
      <c r="D5" s="1" t="s">
        <v>86</v>
      </c>
      <c r="E5" s="1"/>
      <c r="F5" s="7" t="s">
        <v>87</v>
      </c>
      <c r="G5" s="1" t="s">
        <v>88</v>
      </c>
      <c r="H5" s="7" t="s">
        <v>89</v>
      </c>
      <c r="I5" s="7"/>
      <c r="J5" s="7"/>
      <c r="K5" s="7" t="s">
        <v>71</v>
      </c>
      <c r="L5" s="7" t="s">
        <v>72</v>
      </c>
      <c r="M5" s="7" t="s">
        <v>80</v>
      </c>
      <c r="N5" s="8"/>
    </row>
    <row r="6" spans="1:14" ht="102" customHeight="1" x14ac:dyDescent="0.4">
      <c r="A6" s="7"/>
      <c r="B6" s="1" t="s">
        <v>90</v>
      </c>
      <c r="C6" s="1" t="s">
        <v>75</v>
      </c>
      <c r="D6" s="1" t="s">
        <v>91</v>
      </c>
      <c r="E6" s="1"/>
      <c r="F6" s="7" t="s">
        <v>92</v>
      </c>
      <c r="G6" s="1" t="s">
        <v>93</v>
      </c>
      <c r="H6" s="7" t="s">
        <v>94</v>
      </c>
      <c r="I6" s="7"/>
      <c r="J6" s="7"/>
      <c r="K6" s="7" t="s">
        <v>71</v>
      </c>
      <c r="L6" s="7" t="s">
        <v>72</v>
      </c>
      <c r="M6" s="7" t="s">
        <v>80</v>
      </c>
      <c r="N6" s="8"/>
    </row>
    <row r="7" spans="1:14" ht="145.75" customHeight="1" x14ac:dyDescent="0.4">
      <c r="A7" s="7" t="s">
        <v>64</v>
      </c>
      <c r="B7" s="1" t="s">
        <v>95</v>
      </c>
      <c r="C7" s="1" t="s">
        <v>75</v>
      </c>
      <c r="D7" s="1" t="s">
        <v>96</v>
      </c>
      <c r="E7" s="1"/>
      <c r="F7" s="7" t="s">
        <v>97</v>
      </c>
      <c r="G7" s="1" t="s">
        <v>98</v>
      </c>
      <c r="H7" s="7" t="s">
        <v>70</v>
      </c>
      <c r="I7" s="7"/>
      <c r="J7" s="7"/>
      <c r="K7" s="7" t="s">
        <v>71</v>
      </c>
      <c r="L7" s="7" t="s">
        <v>72</v>
      </c>
      <c r="M7" s="7" t="s">
        <v>80</v>
      </c>
      <c r="N7" s="8"/>
    </row>
    <row r="8" spans="1:14" ht="175" customHeight="1" x14ac:dyDescent="0.4">
      <c r="A8" s="7" t="s">
        <v>64</v>
      </c>
      <c r="B8" s="1" t="s">
        <v>99</v>
      </c>
      <c r="C8" s="1" t="s">
        <v>100</v>
      </c>
      <c r="D8" s="1" t="s">
        <v>101</v>
      </c>
      <c r="E8" s="1"/>
      <c r="F8" s="7" t="s">
        <v>102</v>
      </c>
      <c r="G8" s="1" t="s">
        <v>103</v>
      </c>
      <c r="H8" s="7"/>
      <c r="I8" s="7" t="s">
        <v>104</v>
      </c>
      <c r="J8" s="7" t="s">
        <v>105</v>
      </c>
      <c r="K8" s="7" t="s">
        <v>71</v>
      </c>
      <c r="L8" s="7" t="s">
        <v>106</v>
      </c>
      <c r="M8" s="7" t="s">
        <v>80</v>
      </c>
      <c r="N8" s="8"/>
    </row>
    <row r="9" spans="1:14" ht="204" customHeight="1" x14ac:dyDescent="0.4">
      <c r="A9" s="7"/>
      <c r="B9" s="1" t="s">
        <v>107</v>
      </c>
      <c r="C9" s="1" t="s">
        <v>75</v>
      </c>
      <c r="D9" s="1" t="s">
        <v>108</v>
      </c>
      <c r="E9" s="1"/>
      <c r="F9" s="7" t="s">
        <v>109</v>
      </c>
      <c r="G9" s="1" t="s">
        <v>78</v>
      </c>
      <c r="H9" s="7" t="s">
        <v>79</v>
      </c>
      <c r="I9" s="7"/>
      <c r="J9" s="7"/>
      <c r="K9" s="7" t="s">
        <v>71</v>
      </c>
      <c r="L9" s="7" t="s">
        <v>110</v>
      </c>
      <c r="M9" s="7" t="s">
        <v>80</v>
      </c>
      <c r="N9" s="8"/>
    </row>
    <row r="10" spans="1:14" ht="204" customHeight="1" x14ac:dyDescent="0.4">
      <c r="A10" s="7"/>
      <c r="B10" s="1" t="s">
        <v>111</v>
      </c>
      <c r="C10" s="1" t="s">
        <v>75</v>
      </c>
      <c r="D10" s="1" t="s">
        <v>112</v>
      </c>
      <c r="E10" s="1" t="s">
        <v>113</v>
      </c>
      <c r="F10" s="7" t="s">
        <v>114</v>
      </c>
      <c r="G10" s="1" t="s">
        <v>115</v>
      </c>
      <c r="H10" s="7" t="s">
        <v>116</v>
      </c>
      <c r="I10" s="7"/>
      <c r="J10" s="7" t="s">
        <v>117</v>
      </c>
      <c r="K10" s="7" t="s">
        <v>71</v>
      </c>
      <c r="L10" s="7"/>
      <c r="M10" s="7" t="s">
        <v>80</v>
      </c>
      <c r="N10" s="8"/>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70"/>
  <sheetViews>
    <sheetView tabSelected="1" workbookViewId="0">
      <selection activeCell="D16" sqref="D16"/>
    </sheetView>
  </sheetViews>
  <sheetFormatPr defaultRowHeight="14.6" x14ac:dyDescent="0.4"/>
  <cols>
    <col min="1" max="1" width="14.84375" bestFit="1" customWidth="1"/>
    <col min="2" max="2" width="28.15234375" bestFit="1" customWidth="1"/>
    <col min="3" max="3" width="22.69140625" bestFit="1" customWidth="1"/>
    <col min="4" max="4" width="37.15234375" bestFit="1" customWidth="1"/>
    <col min="5" max="5" width="13.69140625" bestFit="1" customWidth="1"/>
    <col min="6" max="6" width="9.3046875" bestFit="1" customWidth="1"/>
    <col min="7" max="7" width="14.15234375" bestFit="1" customWidth="1"/>
  </cols>
  <sheetData>
    <row r="1" spans="1:7" s="9" customFormat="1" x14ac:dyDescent="0.4">
      <c r="A1" t="s">
        <v>0</v>
      </c>
      <c r="B1" t="s">
        <v>1</v>
      </c>
      <c r="C1" t="s">
        <v>2</v>
      </c>
      <c r="D1" t="s">
        <v>3</v>
      </c>
      <c r="E1" t="s">
        <v>4</v>
      </c>
      <c r="F1" t="s">
        <v>5</v>
      </c>
      <c r="G1" t="s">
        <v>6</v>
      </c>
    </row>
    <row r="2" spans="1:7" s="4" customFormat="1" x14ac:dyDescent="0.4">
      <c r="A2" s="10" t="s">
        <v>7</v>
      </c>
      <c r="B2">
        <v>1201555.2</v>
      </c>
      <c r="C2">
        <v>18.982710000000001</v>
      </c>
      <c r="D2">
        <v>9691539</v>
      </c>
      <c r="E2" s="10">
        <v>5.67</v>
      </c>
      <c r="F2" s="10">
        <v>0.49429400000000001</v>
      </c>
      <c r="G2">
        <v>10192.529</v>
      </c>
    </row>
    <row r="3" spans="1:7" s="4" customFormat="1" x14ac:dyDescent="0.4">
      <c r="A3" s="10" t="s">
        <v>8</v>
      </c>
      <c r="B3">
        <v>1064272.8</v>
      </c>
      <c r="C3">
        <v>40.585369999999998</v>
      </c>
      <c r="D3">
        <v>8801828</v>
      </c>
      <c r="E3" s="10">
        <v>9.2100000000000009</v>
      </c>
      <c r="F3" s="10">
        <v>0.43820999999999999</v>
      </c>
      <c r="G3">
        <v>10076.352000000001</v>
      </c>
    </row>
    <row r="4" spans="1:7" s="4" customFormat="1" x14ac:dyDescent="0.4">
      <c r="A4" s="10" t="s">
        <v>9</v>
      </c>
      <c r="B4">
        <v>3972916</v>
      </c>
      <c r="C4">
        <v>13.628450000000001</v>
      </c>
      <c r="D4">
        <v>75462370</v>
      </c>
      <c r="E4" s="10">
        <v>16.690000000000001</v>
      </c>
      <c r="F4" s="10">
        <v>0.70839799999999997</v>
      </c>
      <c r="G4">
        <v>41255.714999999997</v>
      </c>
    </row>
    <row r="5" spans="1:7" x14ac:dyDescent="0.4">
      <c r="A5" s="10" t="s">
        <v>10</v>
      </c>
      <c r="B5">
        <v>3567308.2</v>
      </c>
      <c r="C5">
        <v>29.667269999999998</v>
      </c>
      <c r="D5">
        <v>60206376</v>
      </c>
      <c r="E5" s="10">
        <v>4.99</v>
      </c>
      <c r="F5" s="10">
        <v>0.30621900000000002</v>
      </c>
      <c r="G5">
        <v>17463.758000000002</v>
      </c>
    </row>
    <row r="6" spans="1:7" s="4" customFormat="1" x14ac:dyDescent="0.4">
      <c r="A6" s="10" t="s">
        <v>11</v>
      </c>
      <c r="B6">
        <v>28768802</v>
      </c>
      <c r="C6">
        <v>16.49174</v>
      </c>
      <c r="D6">
        <v>111591896</v>
      </c>
      <c r="E6" s="10">
        <v>20.64</v>
      </c>
      <c r="F6" s="10">
        <v>0.38143300000000002</v>
      </c>
      <c r="G6">
        <v>18122.863000000001</v>
      </c>
    </row>
    <row r="7" spans="1:7" s="4" customFormat="1" x14ac:dyDescent="0.4">
      <c r="A7" s="10" t="s">
        <v>12</v>
      </c>
      <c r="B7">
        <v>9323679</v>
      </c>
      <c r="C7">
        <v>13.27885</v>
      </c>
      <c r="D7">
        <v>126559150</v>
      </c>
      <c r="E7" s="10">
        <v>12.69</v>
      </c>
      <c r="F7" s="5">
        <v>0.71222556000000004</v>
      </c>
      <c r="G7">
        <v>39160.324000000001</v>
      </c>
    </row>
    <row r="8" spans="1:7" x14ac:dyDescent="0.4">
      <c r="A8" s="10" t="s">
        <v>13</v>
      </c>
      <c r="B8">
        <v>3847866</v>
      </c>
      <c r="C8">
        <v>20.41206</v>
      </c>
      <c r="D8">
        <v>59439004</v>
      </c>
      <c r="E8" s="10">
        <v>13.63</v>
      </c>
      <c r="F8" s="10">
        <v>0.54433600000000004</v>
      </c>
      <c r="G8">
        <v>16186.409</v>
      </c>
    </row>
    <row r="9" spans="1:7" x14ac:dyDescent="0.4">
      <c r="A9" s="10" t="s">
        <v>14</v>
      </c>
      <c r="B9">
        <v>42385420</v>
      </c>
      <c r="C9">
        <v>7.1536400000000002</v>
      </c>
      <c r="D9">
        <v>857682560</v>
      </c>
      <c r="E9" s="10">
        <v>9.98</v>
      </c>
      <c r="F9" s="10">
        <v>0.78090999999999999</v>
      </c>
      <c r="G9">
        <v>43761.527000000002</v>
      </c>
    </row>
    <row r="10" spans="1:7" x14ac:dyDescent="0.4">
      <c r="A10" s="10" t="s">
        <v>15</v>
      </c>
      <c r="B10">
        <v>2343456</v>
      </c>
      <c r="C10">
        <v>18.646889999999999</v>
      </c>
      <c r="D10">
        <v>23499504</v>
      </c>
      <c r="E10" s="10">
        <v>12.73</v>
      </c>
      <c r="F10" s="10">
        <v>0.60917900000000003</v>
      </c>
      <c r="G10">
        <v>20025.754000000001</v>
      </c>
    </row>
    <row r="11" spans="1:7" x14ac:dyDescent="0.4">
      <c r="A11" s="10" t="s">
        <v>16</v>
      </c>
      <c r="B11">
        <v>342181.62</v>
      </c>
      <c r="C11">
        <v>15.126860000000001</v>
      </c>
      <c r="D11">
        <v>7644012</v>
      </c>
      <c r="E11" s="10">
        <v>4.26</v>
      </c>
      <c r="F11" s="10">
        <v>0.68421100000000001</v>
      </c>
      <c r="G11">
        <v>25081.504000000001</v>
      </c>
    </row>
    <row r="12" spans="1:7" x14ac:dyDescent="0.4">
      <c r="A12" s="10" t="s">
        <v>17</v>
      </c>
      <c r="B12">
        <v>6440591.5</v>
      </c>
      <c r="C12">
        <v>17.515899999999998</v>
      </c>
      <c r="D12">
        <v>119829860</v>
      </c>
      <c r="E12" s="10">
        <v>23.92</v>
      </c>
      <c r="F12" s="10">
        <v>0.68402399999999997</v>
      </c>
      <c r="G12">
        <v>28437.603999999999</v>
      </c>
    </row>
    <row r="13" spans="1:7" x14ac:dyDescent="0.4">
      <c r="A13" s="10" t="s">
        <v>18</v>
      </c>
      <c r="B13">
        <v>5416969.5</v>
      </c>
      <c r="C13">
        <v>10.725849999999999</v>
      </c>
      <c r="D13">
        <v>52924036</v>
      </c>
      <c r="E13" s="10">
        <v>12.4</v>
      </c>
      <c r="F13" s="10">
        <v>0.77490199999999998</v>
      </c>
      <c r="G13">
        <v>44940.887000000002</v>
      </c>
    </row>
    <row r="14" spans="1:7" x14ac:dyDescent="0.4">
      <c r="A14" s="10" t="s">
        <v>19</v>
      </c>
      <c r="B14">
        <v>1773684.6</v>
      </c>
      <c r="C14">
        <v>6.7455800000000004</v>
      </c>
      <c r="D14">
        <v>21289860</v>
      </c>
      <c r="E14" s="10">
        <v>13.91</v>
      </c>
      <c r="F14" s="10">
        <v>0.71085799999999999</v>
      </c>
      <c r="G14">
        <v>24473.66</v>
      </c>
    </row>
    <row r="15" spans="1:7" x14ac:dyDescent="0.4">
      <c r="A15" s="10" t="s">
        <v>20</v>
      </c>
      <c r="B15">
        <v>7348762</v>
      </c>
      <c r="C15">
        <v>5.8262299999999998</v>
      </c>
      <c r="D15">
        <v>88243340</v>
      </c>
      <c r="E15" s="10">
        <v>14.68</v>
      </c>
      <c r="F15" s="10">
        <v>0.71167100000000005</v>
      </c>
      <c r="G15">
        <v>36986.699999999997</v>
      </c>
    </row>
    <row r="16" spans="1:7" x14ac:dyDescent="0.4">
      <c r="A16" s="10" t="s">
        <v>21</v>
      </c>
      <c r="B16">
        <v>39493550</v>
      </c>
      <c r="C16">
        <v>12.20689</v>
      </c>
      <c r="D16">
        <v>404057660</v>
      </c>
      <c r="E16" s="10">
        <v>10.43</v>
      </c>
      <c r="F16" s="5">
        <v>0.73974150000000005</v>
      </c>
      <c r="G16">
        <v>37077.89</v>
      </c>
    </row>
    <row r="17" spans="1:7" x14ac:dyDescent="0.4">
      <c r="A17" s="10" t="s">
        <v>22</v>
      </c>
      <c r="B17">
        <v>1816214.2</v>
      </c>
      <c r="C17">
        <v>22.569389999999999</v>
      </c>
      <c r="D17">
        <v>9192436</v>
      </c>
      <c r="E17" s="10">
        <v>8.86</v>
      </c>
      <c r="F17" s="10">
        <v>0.55564499999999994</v>
      </c>
      <c r="G17">
        <v>10629.593999999999</v>
      </c>
    </row>
    <row r="18" spans="1:7" x14ac:dyDescent="0.4">
      <c r="A18" s="10" t="s">
        <v>23</v>
      </c>
      <c r="B18">
        <v>39767790</v>
      </c>
      <c r="C18">
        <v>12.644629999999999</v>
      </c>
      <c r="D18">
        <v>894566400</v>
      </c>
      <c r="E18" s="10">
        <v>20.350000000000001</v>
      </c>
      <c r="F18" s="10">
        <v>0.78161800000000003</v>
      </c>
      <c r="G18">
        <v>44405.167999999998</v>
      </c>
    </row>
    <row r="19" spans="1:7" x14ac:dyDescent="0.4">
      <c r="A19" s="10" t="s">
        <v>24</v>
      </c>
      <c r="B19">
        <v>4579830</v>
      </c>
      <c r="C19">
        <v>16.445550000000001</v>
      </c>
      <c r="D19">
        <v>84390630</v>
      </c>
      <c r="E19" s="10">
        <v>8.2899999999999991</v>
      </c>
      <c r="F19" s="10">
        <v>0.64623299999999995</v>
      </c>
      <c r="G19">
        <v>22696.203000000001</v>
      </c>
    </row>
    <row r="20" spans="1:7" x14ac:dyDescent="0.4">
      <c r="A20" s="10" t="s">
        <v>25</v>
      </c>
      <c r="B20">
        <v>6969051</v>
      </c>
      <c r="C20">
        <v>17.161010000000001</v>
      </c>
      <c r="D20">
        <v>57328544</v>
      </c>
      <c r="E20" s="10">
        <v>20.22</v>
      </c>
      <c r="F20" s="10">
        <v>0.56093099999999996</v>
      </c>
      <c r="G20">
        <v>22993.375</v>
      </c>
    </row>
    <row r="21" spans="1:7" x14ac:dyDescent="0.4">
      <c r="A21" s="10" t="s">
        <v>26</v>
      </c>
      <c r="B21">
        <v>367652.34</v>
      </c>
      <c r="C21">
        <v>6.4300100000000002</v>
      </c>
      <c r="D21">
        <v>4808067.5</v>
      </c>
      <c r="E21" s="10">
        <v>10.73</v>
      </c>
      <c r="F21" s="10">
        <v>0.76290400000000003</v>
      </c>
      <c r="G21">
        <v>39756.527000000002</v>
      </c>
    </row>
    <row r="22" spans="1:7" x14ac:dyDescent="0.4">
      <c r="A22" s="10" t="s">
        <v>27</v>
      </c>
      <c r="B22">
        <v>8910458</v>
      </c>
      <c r="C22">
        <v>9.1618700000000004</v>
      </c>
      <c r="D22">
        <v>63314196</v>
      </c>
      <c r="E22" s="10">
        <v>34.75</v>
      </c>
      <c r="F22" s="10">
        <v>0.75645300000000004</v>
      </c>
      <c r="G22">
        <v>53196.597999999998</v>
      </c>
    </row>
    <row r="23" spans="1:7" x14ac:dyDescent="0.4">
      <c r="A23" s="10" t="s">
        <v>28</v>
      </c>
      <c r="B23">
        <v>2627072.7999999998</v>
      </c>
      <c r="C23">
        <v>21.654979999999998</v>
      </c>
      <c r="D23">
        <v>77176136</v>
      </c>
      <c r="E23" s="10">
        <v>12.78</v>
      </c>
      <c r="F23" s="10">
        <v>0.73618799999999995</v>
      </c>
      <c r="G23">
        <v>31050.407999999999</v>
      </c>
    </row>
    <row r="24" spans="1:7" x14ac:dyDescent="0.4">
      <c r="A24" s="10" t="s">
        <v>29</v>
      </c>
      <c r="B24">
        <v>16488255</v>
      </c>
      <c r="C24">
        <v>17.27739</v>
      </c>
      <c r="D24">
        <v>397890080</v>
      </c>
      <c r="E24" s="10">
        <v>14.4</v>
      </c>
      <c r="F24" s="10">
        <v>0.70633299999999999</v>
      </c>
      <c r="G24">
        <v>33620.741999999998</v>
      </c>
    </row>
    <row r="25" spans="1:7" x14ac:dyDescent="0.4">
      <c r="A25" s="10" t="s">
        <v>30</v>
      </c>
      <c r="B25">
        <v>11072543</v>
      </c>
      <c r="C25">
        <v>30.831779999999998</v>
      </c>
      <c r="D25">
        <v>369324380</v>
      </c>
      <c r="E25" s="10">
        <v>10.28</v>
      </c>
      <c r="F25" s="10">
        <v>0.37193799999999999</v>
      </c>
      <c r="G25">
        <v>23782.562000000002</v>
      </c>
    </row>
    <row r="26" spans="1:7" x14ac:dyDescent="0.4">
      <c r="A26" s="10" t="s">
        <v>31</v>
      </c>
      <c r="B26">
        <v>1701691.8</v>
      </c>
      <c r="C26">
        <v>44.577559999999998</v>
      </c>
      <c r="D26">
        <v>20268746</v>
      </c>
      <c r="E26" s="10">
        <v>14.05</v>
      </c>
      <c r="F26" s="10">
        <v>0.41885</v>
      </c>
      <c r="G26">
        <v>4772.76</v>
      </c>
    </row>
    <row r="27" spans="1:7" x14ac:dyDescent="0.4">
      <c r="A27" s="10" t="s">
        <v>32</v>
      </c>
      <c r="B27">
        <v>2201798.7999999998</v>
      </c>
      <c r="C27">
        <v>13.399559999999999</v>
      </c>
      <c r="D27">
        <v>15552152</v>
      </c>
      <c r="E27" s="10">
        <v>10.47</v>
      </c>
      <c r="F27" s="10">
        <v>0.62699199999999999</v>
      </c>
      <c r="G27">
        <v>22179.42</v>
      </c>
    </row>
    <row r="28" spans="1:7" x14ac:dyDescent="0.4">
      <c r="A28" s="10" t="s">
        <v>33</v>
      </c>
      <c r="B28">
        <v>6299640</v>
      </c>
      <c r="C28">
        <v>11.437580000000001</v>
      </c>
      <c r="D28">
        <v>25367098</v>
      </c>
      <c r="E28" s="10">
        <v>17.21</v>
      </c>
      <c r="F28" s="10">
        <v>0.66436799999999996</v>
      </c>
      <c r="G28">
        <v>23968.848000000002</v>
      </c>
    </row>
    <row r="29" spans="1:7" x14ac:dyDescent="0.4">
      <c r="A29" s="10" t="s">
        <v>34</v>
      </c>
      <c r="B29">
        <v>49154.36</v>
      </c>
      <c r="C29">
        <v>13.853</v>
      </c>
      <c r="D29">
        <v>1892776</v>
      </c>
      <c r="E29" s="10">
        <v>7.45</v>
      </c>
      <c r="F29" s="10">
        <v>0.67796100000000004</v>
      </c>
      <c r="G29">
        <v>28906.48</v>
      </c>
    </row>
    <row r="30" spans="1:7" x14ac:dyDescent="0.4">
      <c r="A30" s="10" t="s">
        <v>35</v>
      </c>
      <c r="B30">
        <v>12815863</v>
      </c>
      <c r="C30">
        <v>12.585039999999999</v>
      </c>
      <c r="D30">
        <v>209520130</v>
      </c>
      <c r="E30" s="10">
        <v>10.8</v>
      </c>
      <c r="F30" s="10">
        <v>0.74280800000000002</v>
      </c>
      <c r="G30">
        <v>44912.663999999997</v>
      </c>
    </row>
    <row r="31" spans="1:7" x14ac:dyDescent="0.4">
      <c r="A31" s="10" t="s">
        <v>36</v>
      </c>
      <c r="B31">
        <v>4156485.5</v>
      </c>
      <c r="C31">
        <v>6.8202999999999996</v>
      </c>
      <c r="D31">
        <v>75014970</v>
      </c>
      <c r="E31" s="10">
        <v>6.96</v>
      </c>
      <c r="F31" s="10">
        <v>0.80465399999999998</v>
      </c>
      <c r="G31">
        <v>82983.990000000005</v>
      </c>
    </row>
    <row r="32" spans="1:7" x14ac:dyDescent="0.4">
      <c r="A32" s="10" t="s">
        <v>37</v>
      </c>
      <c r="B32">
        <v>27035148</v>
      </c>
      <c r="C32">
        <v>22.587910000000001</v>
      </c>
      <c r="D32">
        <v>353246460</v>
      </c>
      <c r="E32" s="10">
        <v>17.87</v>
      </c>
      <c r="F32" s="10">
        <v>0.65846499999999997</v>
      </c>
      <c r="G32">
        <v>24285.14</v>
      </c>
    </row>
    <row r="33" spans="1:7" x14ac:dyDescent="0.4">
      <c r="A33" s="10" t="s">
        <v>38</v>
      </c>
      <c r="B33">
        <v>3354506.2</v>
      </c>
      <c r="C33">
        <v>8.6753400000000003</v>
      </c>
      <c r="D33">
        <v>63353732</v>
      </c>
      <c r="E33" s="10">
        <v>12.14</v>
      </c>
      <c r="F33" s="10">
        <v>0.62483999999999995</v>
      </c>
      <c r="G33">
        <v>24983.701000000001</v>
      </c>
    </row>
    <row r="34" spans="1:7" x14ac:dyDescent="0.4">
      <c r="A34" s="10" t="s">
        <v>39</v>
      </c>
      <c r="B34">
        <v>9536401</v>
      </c>
      <c r="C34">
        <v>15.41342</v>
      </c>
      <c r="D34">
        <v>100242660</v>
      </c>
      <c r="E34" s="10">
        <v>20.21</v>
      </c>
      <c r="F34" s="10">
        <v>0.53965700000000005</v>
      </c>
      <c r="G34">
        <v>19162.186000000002</v>
      </c>
    </row>
    <row r="35" spans="1:7" x14ac:dyDescent="0.4">
      <c r="A35" s="10" t="s">
        <v>40</v>
      </c>
      <c r="B35">
        <v>3466474</v>
      </c>
      <c r="C35">
        <v>25.332979999999999</v>
      </c>
      <c r="D35">
        <v>45359156</v>
      </c>
      <c r="E35" s="10">
        <v>14.77</v>
      </c>
      <c r="F35" s="10">
        <v>0.47647099999999998</v>
      </c>
      <c r="G35">
        <v>13013.853999999999</v>
      </c>
    </row>
    <row r="36" spans="1:7" x14ac:dyDescent="0.4">
      <c r="A36" s="10" t="s">
        <v>41</v>
      </c>
      <c r="B36">
        <v>3237510.5</v>
      </c>
      <c r="C36">
        <v>19.049779999999998</v>
      </c>
      <c r="D36">
        <v>62561244</v>
      </c>
      <c r="E36" s="10">
        <v>19.59</v>
      </c>
      <c r="F36" s="10">
        <v>0.65545699999999996</v>
      </c>
      <c r="G36">
        <v>24647.719000000001</v>
      </c>
    </row>
    <row r="37" spans="1:7" x14ac:dyDescent="0.4">
      <c r="A37" s="10" t="s">
        <v>42</v>
      </c>
      <c r="B37">
        <v>794894.94</v>
      </c>
      <c r="C37">
        <v>17.55293</v>
      </c>
      <c r="D37">
        <v>20779568</v>
      </c>
      <c r="E37" s="10">
        <v>19.940000000000001</v>
      </c>
      <c r="F37" s="10">
        <v>0.72378500000000001</v>
      </c>
      <c r="G37">
        <v>26186.248</v>
      </c>
    </row>
    <row r="38" spans="1:7" x14ac:dyDescent="0.4">
      <c r="A38" s="10" t="s">
        <v>43</v>
      </c>
      <c r="B38">
        <v>21216588</v>
      </c>
      <c r="C38">
        <v>11.11022</v>
      </c>
      <c r="D38">
        <v>324089500</v>
      </c>
      <c r="E38" s="10">
        <v>11.29</v>
      </c>
      <c r="F38" s="5">
        <v>0.66597989999999996</v>
      </c>
      <c r="G38" s="4">
        <v>32057.098000000002</v>
      </c>
    </row>
    <row r="39" spans="1:7" x14ac:dyDescent="0.4">
      <c r="A39" s="10" t="s">
        <v>44</v>
      </c>
      <c r="B39">
        <v>9205298</v>
      </c>
      <c r="C39">
        <v>6.3726599999999998</v>
      </c>
      <c r="D39">
        <v>75343464</v>
      </c>
      <c r="E39" s="10">
        <v>13.61</v>
      </c>
      <c r="F39" s="10">
        <v>0.78541799999999995</v>
      </c>
      <c r="G39">
        <v>43782.457000000002</v>
      </c>
    </row>
    <row r="40" spans="1:7" x14ac:dyDescent="0.4">
      <c r="A40" s="10" t="s">
        <v>45</v>
      </c>
      <c r="B40">
        <v>2282562.7999999998</v>
      </c>
      <c r="C40">
        <v>10.81907</v>
      </c>
      <c r="D40">
        <v>45879580</v>
      </c>
      <c r="E40" s="10">
        <v>17.12</v>
      </c>
      <c r="F40" s="10">
        <v>0.84757000000000005</v>
      </c>
      <c r="G40">
        <v>60070.866999999998</v>
      </c>
    </row>
    <row r="41" spans="1:7" x14ac:dyDescent="0.4">
      <c r="A41" s="10" t="s">
        <v>46</v>
      </c>
      <c r="B41">
        <v>1821999.2</v>
      </c>
      <c r="C41">
        <v>63.279150000000001</v>
      </c>
      <c r="D41">
        <v>16845876</v>
      </c>
      <c r="E41" s="10">
        <v>10.08</v>
      </c>
      <c r="F41" s="10">
        <v>0.24573400000000001</v>
      </c>
      <c r="G41">
        <v>3784.3434999999999</v>
      </c>
    </row>
    <row r="42" spans="1:7" x14ac:dyDescent="0.4">
      <c r="A42" s="10" t="s">
        <v>47</v>
      </c>
      <c r="B42">
        <v>23037010</v>
      </c>
      <c r="C42">
        <v>14.66802</v>
      </c>
      <c r="D42">
        <v>312214500</v>
      </c>
      <c r="E42" s="10">
        <v>11.9</v>
      </c>
      <c r="F42" s="10">
        <v>0.41184900000000002</v>
      </c>
      <c r="G42">
        <v>8959.1740000000009</v>
      </c>
    </row>
    <row r="43" spans="1:7" x14ac:dyDescent="0.4">
      <c r="A43" s="10" t="s">
        <v>48</v>
      </c>
      <c r="B43">
        <v>30488942</v>
      </c>
      <c r="C43">
        <v>11.082789999999999</v>
      </c>
      <c r="D43">
        <v>517176200</v>
      </c>
      <c r="E43" s="10">
        <v>9.2899999999999991</v>
      </c>
      <c r="F43" s="10">
        <v>0.78159500000000004</v>
      </c>
      <c r="G43">
        <v>37101.226999999999</v>
      </c>
    </row>
    <row r="44" spans="1:7" x14ac:dyDescent="0.4">
      <c r="A44" s="10" t="s">
        <v>49</v>
      </c>
      <c r="B44">
        <v>251828430</v>
      </c>
      <c r="C44">
        <v>8.3103599999999993</v>
      </c>
      <c r="D44">
        <v>6248505300</v>
      </c>
      <c r="E44" s="10">
        <v>11.7</v>
      </c>
      <c r="F44" s="6">
        <v>0.77281093999999995</v>
      </c>
      <c r="G44">
        <v>52808.152000000002</v>
      </c>
    </row>
    <row r="45" spans="1:7" x14ac:dyDescent="0.4">
      <c r="A45" s="10" t="s">
        <v>50</v>
      </c>
      <c r="B45">
        <v>12312490</v>
      </c>
      <c r="C45">
        <v>48.461559999999999</v>
      </c>
      <c r="D45">
        <v>178154300</v>
      </c>
      <c r="E45" s="10">
        <v>12.81</v>
      </c>
      <c r="F45" s="10">
        <v>0.27352799999999999</v>
      </c>
      <c r="G45">
        <v>9381.3469999999998</v>
      </c>
    </row>
    <row r="46" spans="1:7" x14ac:dyDescent="0.4">
      <c r="D46" s="2"/>
    </row>
    <row r="48" spans="1:7" x14ac:dyDescent="0.4">
      <c r="D48" s="2"/>
    </row>
    <row r="51" spans="4:4" x14ac:dyDescent="0.4">
      <c r="D51" s="2"/>
    </row>
    <row r="52" spans="4:4" x14ac:dyDescent="0.4">
      <c r="D52" s="2"/>
    </row>
    <row r="53" spans="4:4" x14ac:dyDescent="0.4">
      <c r="D53" s="2"/>
    </row>
    <row r="54" spans="4:4" x14ac:dyDescent="0.4">
      <c r="D54" s="2"/>
    </row>
    <row r="55" spans="4:4" x14ac:dyDescent="0.4">
      <c r="D55" s="2"/>
    </row>
    <row r="56" spans="4:4" x14ac:dyDescent="0.4">
      <c r="D56" s="2"/>
    </row>
    <row r="57" spans="4:4" x14ac:dyDescent="0.4">
      <c r="D57" s="2"/>
    </row>
    <row r="58" spans="4:4" x14ac:dyDescent="0.4">
      <c r="D58" s="2"/>
    </row>
    <row r="60" spans="4:4" x14ac:dyDescent="0.4">
      <c r="D60" s="2"/>
    </row>
    <row r="61" spans="4:4" x14ac:dyDescent="0.4">
      <c r="D61" s="3"/>
    </row>
    <row r="62" spans="4:4" x14ac:dyDescent="0.4">
      <c r="D62" s="3"/>
    </row>
    <row r="63" spans="4:4" x14ac:dyDescent="0.4">
      <c r="D63" s="3"/>
    </row>
    <row r="64" spans="4:4" x14ac:dyDescent="0.4">
      <c r="D64" s="3"/>
    </row>
    <row r="65" spans="4:4" x14ac:dyDescent="0.4">
      <c r="D65" s="3"/>
    </row>
    <row r="66" spans="4:4" x14ac:dyDescent="0.4">
      <c r="D66" s="3"/>
    </row>
    <row r="67" spans="4:4" x14ac:dyDescent="0.4">
      <c r="D67" s="3"/>
    </row>
    <row r="68" spans="4:4" x14ac:dyDescent="0.4">
      <c r="D68" s="3"/>
    </row>
    <row r="70" spans="4:4" x14ac:dyDescent="0.4">
      <c r="D70" s="3"/>
    </row>
  </sheetData>
  <conditionalFormatting sqref="A2:A3">
    <cfRule type="duplicateValues" dxfId="3" priority="4"/>
  </conditionalFormatting>
  <conditionalFormatting sqref="A2:A45">
    <cfRule type="duplicateValues" dxfId="2" priority="1"/>
    <cfRule type="duplicateValues" dxfId="1" priority="2"/>
    <cfRule type="duplicateValues" dxfId="0" priority="3"/>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45"/>
  <sheetViews>
    <sheetView workbookViewId="0"/>
  </sheetViews>
  <sheetFormatPr defaultRowHeight="14.6" x14ac:dyDescent="0.4"/>
  <cols>
    <col min="2" max="3" width="9.3046875" bestFit="1" customWidth="1"/>
    <col min="4" max="4" width="10.15234375" bestFit="1" customWidth="1"/>
    <col min="5" max="5" width="12.53515625" customWidth="1"/>
    <col min="6" max="8" width="9.3046875" bestFit="1" customWidth="1"/>
  </cols>
  <sheetData>
    <row r="1" spans="1:8" x14ac:dyDescent="0.4">
      <c r="A1" s="16" t="s">
        <v>0</v>
      </c>
      <c r="B1" s="16" t="s">
        <v>1</v>
      </c>
      <c r="C1" s="16" t="s">
        <v>2</v>
      </c>
      <c r="D1" s="16" t="s">
        <v>3</v>
      </c>
      <c r="E1" s="16" t="s">
        <v>4</v>
      </c>
      <c r="F1" s="16" t="s">
        <v>5</v>
      </c>
      <c r="G1" s="16" t="s">
        <v>6</v>
      </c>
      <c r="H1" s="16" t="s">
        <v>118</v>
      </c>
    </row>
    <row r="2" spans="1:8" x14ac:dyDescent="0.4">
      <c r="A2" t="s">
        <v>7</v>
      </c>
      <c r="B2">
        <v>1201555.2</v>
      </c>
      <c r="C2">
        <v>18.982710000000001</v>
      </c>
      <c r="D2">
        <v>9691539</v>
      </c>
      <c r="E2">
        <v>5.67</v>
      </c>
      <c r="F2">
        <v>0.49429400000000001</v>
      </c>
      <c r="G2">
        <v>10192.529</v>
      </c>
      <c r="H2">
        <v>0.42768266226059198</v>
      </c>
    </row>
    <row r="3" spans="1:8" x14ac:dyDescent="0.4">
      <c r="A3" t="s">
        <v>8</v>
      </c>
      <c r="B3">
        <v>1064272.8</v>
      </c>
      <c r="C3">
        <v>40.585369999999998</v>
      </c>
      <c r="D3">
        <v>8801828</v>
      </c>
      <c r="E3">
        <v>9.2100000000000009</v>
      </c>
      <c r="F3">
        <v>0.43820999999999999</v>
      </c>
      <c r="G3">
        <v>10076.352000000001</v>
      </c>
      <c r="H3">
        <v>0.39276826996591629</v>
      </c>
    </row>
    <row r="4" spans="1:8" x14ac:dyDescent="0.4">
      <c r="A4" t="s">
        <v>9</v>
      </c>
      <c r="B4">
        <v>3972916</v>
      </c>
      <c r="C4">
        <v>13.628450000000001</v>
      </c>
      <c r="D4">
        <v>75462370</v>
      </c>
      <c r="E4">
        <v>16.690000000000001</v>
      </c>
      <c r="F4">
        <v>0.70839799999999997</v>
      </c>
      <c r="G4">
        <v>41255.714999999997</v>
      </c>
      <c r="H4">
        <v>0.57461345781661122</v>
      </c>
    </row>
    <row r="5" spans="1:8" x14ac:dyDescent="0.4">
      <c r="A5" t="s">
        <v>10</v>
      </c>
      <c r="B5">
        <v>3567308.2</v>
      </c>
      <c r="C5">
        <v>29.667269999999998</v>
      </c>
      <c r="D5">
        <v>60206376</v>
      </c>
      <c r="E5">
        <v>4.99</v>
      </c>
      <c r="F5">
        <v>0.30621900000000002</v>
      </c>
      <c r="G5">
        <v>17463.758000000002</v>
      </c>
      <c r="H5">
        <v>0.2155674838549414</v>
      </c>
    </row>
    <row r="6" spans="1:8" x14ac:dyDescent="0.4">
      <c r="A6" t="s">
        <v>11</v>
      </c>
      <c r="B6">
        <v>28768802</v>
      </c>
      <c r="C6">
        <v>16.49174</v>
      </c>
      <c r="D6">
        <v>111591896</v>
      </c>
      <c r="E6">
        <v>20.64</v>
      </c>
      <c r="F6">
        <v>0.38143300000000002</v>
      </c>
      <c r="G6">
        <v>18122.863000000001</v>
      </c>
      <c r="H6">
        <v>0.44073084533257911</v>
      </c>
    </row>
    <row r="7" spans="1:8" x14ac:dyDescent="0.4">
      <c r="A7" t="s">
        <v>12</v>
      </c>
      <c r="B7">
        <v>9323679</v>
      </c>
      <c r="C7">
        <v>13.27885</v>
      </c>
      <c r="D7">
        <v>126559150</v>
      </c>
      <c r="E7">
        <v>12.69</v>
      </c>
      <c r="F7">
        <v>0.71222556000000004</v>
      </c>
      <c r="G7">
        <v>39160.324000000001</v>
      </c>
      <c r="H7">
        <v>0.45985758468718901</v>
      </c>
    </row>
    <row r="8" spans="1:8" x14ac:dyDescent="0.4">
      <c r="A8" t="s">
        <v>13</v>
      </c>
      <c r="B8">
        <v>3847866</v>
      </c>
      <c r="C8">
        <v>20.41206</v>
      </c>
      <c r="D8">
        <v>59439004</v>
      </c>
      <c r="E8">
        <v>13.63</v>
      </c>
      <c r="F8">
        <v>0.54433600000000004</v>
      </c>
      <c r="G8">
        <v>16186.409</v>
      </c>
      <c r="H8">
        <v>0.3441392704772866</v>
      </c>
    </row>
    <row r="9" spans="1:8" x14ac:dyDescent="0.4">
      <c r="A9" t="s">
        <v>14</v>
      </c>
      <c r="B9">
        <v>42385420</v>
      </c>
      <c r="C9">
        <v>7.1536400000000002</v>
      </c>
      <c r="D9">
        <v>857682560</v>
      </c>
      <c r="E9">
        <v>9.98</v>
      </c>
      <c r="F9">
        <v>0.78090999999999999</v>
      </c>
      <c r="G9">
        <v>43761.527000000002</v>
      </c>
      <c r="H9">
        <v>0.88660787679983422</v>
      </c>
    </row>
    <row r="10" spans="1:8" x14ac:dyDescent="0.4">
      <c r="A10" t="s">
        <v>15</v>
      </c>
      <c r="B10">
        <v>2343456</v>
      </c>
      <c r="C10">
        <v>18.646889999999999</v>
      </c>
      <c r="D10">
        <v>23499504</v>
      </c>
      <c r="E10">
        <v>12.73</v>
      </c>
      <c r="F10">
        <v>0.60917900000000003</v>
      </c>
      <c r="G10">
        <v>20025.754000000001</v>
      </c>
      <c r="H10">
        <v>0.39339624442223298</v>
      </c>
    </row>
    <row r="11" spans="1:8" x14ac:dyDescent="0.4">
      <c r="A11" t="s">
        <v>16</v>
      </c>
      <c r="B11">
        <v>342181.62</v>
      </c>
      <c r="C11">
        <v>15.126860000000001</v>
      </c>
      <c r="D11">
        <v>7644012</v>
      </c>
      <c r="E11">
        <v>4.26</v>
      </c>
      <c r="F11">
        <v>0.68421100000000001</v>
      </c>
      <c r="G11">
        <v>25081.504000000001</v>
      </c>
      <c r="H11">
        <v>0.64923884738332882</v>
      </c>
    </row>
    <row r="12" spans="1:8" x14ac:dyDescent="0.4">
      <c r="A12" t="s">
        <v>17</v>
      </c>
      <c r="B12">
        <v>6440591.5</v>
      </c>
      <c r="C12">
        <v>17.515899999999998</v>
      </c>
      <c r="D12">
        <v>119829860</v>
      </c>
      <c r="E12">
        <v>23.92</v>
      </c>
      <c r="F12">
        <v>0.68402399999999997</v>
      </c>
      <c r="G12">
        <v>28437.603999999999</v>
      </c>
      <c r="H12">
        <v>0.64083236728493465</v>
      </c>
    </row>
    <row r="13" spans="1:8" x14ac:dyDescent="0.4">
      <c r="A13" t="s">
        <v>18</v>
      </c>
      <c r="B13">
        <v>5416969.5</v>
      </c>
      <c r="C13">
        <v>10.725849999999999</v>
      </c>
      <c r="D13">
        <v>52924036</v>
      </c>
      <c r="E13">
        <v>12.4</v>
      </c>
      <c r="F13">
        <v>0.77490199999999998</v>
      </c>
      <c r="G13">
        <v>44940.887000000002</v>
      </c>
      <c r="H13">
        <v>0.62630516585776808</v>
      </c>
    </row>
    <row r="14" spans="1:8" x14ac:dyDescent="0.4">
      <c r="A14" t="s">
        <v>19</v>
      </c>
      <c r="B14">
        <v>1773684.6</v>
      </c>
      <c r="C14">
        <v>6.7455800000000004</v>
      </c>
      <c r="D14">
        <v>21289860</v>
      </c>
      <c r="E14">
        <v>13.91</v>
      </c>
      <c r="F14">
        <v>0.71085799999999999</v>
      </c>
      <c r="G14">
        <v>24473.66</v>
      </c>
      <c r="H14">
        <v>0.99917506727604621</v>
      </c>
    </row>
    <row r="15" spans="1:8" x14ac:dyDescent="0.4">
      <c r="A15" s="15" t="s">
        <v>20</v>
      </c>
      <c r="B15" s="15">
        <v>7348762</v>
      </c>
      <c r="C15" s="15">
        <v>5.8262299999999998</v>
      </c>
      <c r="D15" s="15">
        <v>88243340</v>
      </c>
      <c r="E15" s="15">
        <v>14.68</v>
      </c>
      <c r="F15" s="15">
        <v>0.71167100000000005</v>
      </c>
      <c r="G15" s="15">
        <v>36986.699999999997</v>
      </c>
      <c r="H15" s="15">
        <v>1</v>
      </c>
    </row>
    <row r="16" spans="1:8" x14ac:dyDescent="0.4">
      <c r="A16" t="s">
        <v>21</v>
      </c>
      <c r="B16">
        <v>39493550</v>
      </c>
      <c r="C16">
        <v>12.20689</v>
      </c>
      <c r="D16">
        <v>404057660</v>
      </c>
      <c r="E16">
        <v>10.43</v>
      </c>
      <c r="F16">
        <v>0.73974150000000005</v>
      </c>
      <c r="G16">
        <v>37077.89</v>
      </c>
      <c r="H16">
        <v>0.49432893882832613</v>
      </c>
    </row>
    <row r="17" spans="1:8" x14ac:dyDescent="0.4">
      <c r="A17" t="s">
        <v>22</v>
      </c>
      <c r="B17">
        <v>1816214.2</v>
      </c>
      <c r="C17">
        <v>22.569389999999999</v>
      </c>
      <c r="D17">
        <v>9192436</v>
      </c>
      <c r="E17">
        <v>8.86</v>
      </c>
      <c r="F17">
        <v>0.55564499999999994</v>
      </c>
      <c r="G17">
        <v>10629.593999999999</v>
      </c>
      <c r="H17">
        <v>0.40613963612968318</v>
      </c>
    </row>
    <row r="18" spans="1:8" x14ac:dyDescent="0.4">
      <c r="A18" t="s">
        <v>23</v>
      </c>
      <c r="B18">
        <v>39767790</v>
      </c>
      <c r="C18">
        <v>12.644629999999999</v>
      </c>
      <c r="D18">
        <v>894566400</v>
      </c>
      <c r="E18">
        <v>20.350000000000001</v>
      </c>
      <c r="F18">
        <v>0.78161800000000003</v>
      </c>
      <c r="G18">
        <v>44405.167999999998</v>
      </c>
      <c r="H18">
        <v>0.59987792954294572</v>
      </c>
    </row>
    <row r="19" spans="1:8" x14ac:dyDescent="0.4">
      <c r="A19" t="s">
        <v>24</v>
      </c>
      <c r="B19">
        <v>4579830</v>
      </c>
      <c r="C19">
        <v>16.445550000000001</v>
      </c>
      <c r="D19">
        <v>84390630</v>
      </c>
      <c r="E19">
        <v>8.2899999999999991</v>
      </c>
      <c r="F19">
        <v>0.64623299999999995</v>
      </c>
      <c r="G19">
        <v>22696.203000000001</v>
      </c>
      <c r="H19">
        <v>0.38368021106025801</v>
      </c>
    </row>
    <row r="20" spans="1:8" x14ac:dyDescent="0.4">
      <c r="A20" t="s">
        <v>25</v>
      </c>
      <c r="B20">
        <v>6969051</v>
      </c>
      <c r="C20">
        <v>17.161010000000001</v>
      </c>
      <c r="D20">
        <v>57328544</v>
      </c>
      <c r="E20">
        <v>20.22</v>
      </c>
      <c r="F20">
        <v>0.56093099999999996</v>
      </c>
      <c r="G20">
        <v>22993.375</v>
      </c>
      <c r="H20">
        <v>0.49623209256431311</v>
      </c>
    </row>
    <row r="21" spans="1:8" x14ac:dyDescent="0.4">
      <c r="A21" s="15" t="s">
        <v>26</v>
      </c>
      <c r="B21" s="15">
        <v>367652.34</v>
      </c>
      <c r="C21" s="15">
        <v>6.4300100000000002</v>
      </c>
      <c r="D21" s="15">
        <v>4808067.5</v>
      </c>
      <c r="E21" s="15">
        <v>10.73</v>
      </c>
      <c r="F21" s="15">
        <v>0.76290400000000003</v>
      </c>
      <c r="G21" s="15">
        <v>39756.527000000002</v>
      </c>
      <c r="H21" s="15">
        <v>1</v>
      </c>
    </row>
    <row r="22" spans="1:8" x14ac:dyDescent="0.4">
      <c r="A22" s="15" t="s">
        <v>27</v>
      </c>
      <c r="B22" s="15">
        <v>8910458</v>
      </c>
      <c r="C22" s="15">
        <v>9.1618700000000004</v>
      </c>
      <c r="D22" s="15">
        <v>63314196</v>
      </c>
      <c r="E22" s="15">
        <v>34.75</v>
      </c>
      <c r="F22" s="15">
        <v>0.75645300000000004</v>
      </c>
      <c r="G22" s="15">
        <v>53196.597999999998</v>
      </c>
      <c r="H22" s="15">
        <v>1</v>
      </c>
    </row>
    <row r="23" spans="1:8" x14ac:dyDescent="0.4">
      <c r="A23" t="s">
        <v>28</v>
      </c>
      <c r="B23">
        <v>2627072.7999999998</v>
      </c>
      <c r="C23">
        <v>21.654979999999998</v>
      </c>
      <c r="D23">
        <v>77176136</v>
      </c>
      <c r="E23">
        <v>12.78</v>
      </c>
      <c r="F23">
        <v>0.73618799999999995</v>
      </c>
      <c r="G23">
        <v>31050.407999999999</v>
      </c>
      <c r="H23">
        <v>0.3406606976774782</v>
      </c>
    </row>
    <row r="24" spans="1:8" x14ac:dyDescent="0.4">
      <c r="A24" t="s">
        <v>29</v>
      </c>
      <c r="B24">
        <v>16488255</v>
      </c>
      <c r="C24">
        <v>17.27739</v>
      </c>
      <c r="D24">
        <v>397890080</v>
      </c>
      <c r="E24">
        <v>14.4</v>
      </c>
      <c r="F24">
        <v>0.70633299999999999</v>
      </c>
      <c r="G24">
        <v>33620.741999999998</v>
      </c>
      <c r="H24">
        <v>0.35129756014052388</v>
      </c>
    </row>
    <row r="25" spans="1:8" x14ac:dyDescent="0.4">
      <c r="A25" t="s">
        <v>30</v>
      </c>
      <c r="B25">
        <v>11072543</v>
      </c>
      <c r="C25">
        <v>30.831779999999998</v>
      </c>
      <c r="D25">
        <v>369324380</v>
      </c>
      <c r="E25">
        <v>10.28</v>
      </c>
      <c r="F25">
        <v>0.37193799999999999</v>
      </c>
      <c r="G25">
        <v>23782.562000000002</v>
      </c>
      <c r="H25">
        <v>0.20326912808262479</v>
      </c>
    </row>
    <row r="26" spans="1:8" x14ac:dyDescent="0.4">
      <c r="A26" t="s">
        <v>31</v>
      </c>
      <c r="B26">
        <v>1701691.8</v>
      </c>
      <c r="C26">
        <v>44.577559999999998</v>
      </c>
      <c r="D26">
        <v>20268746</v>
      </c>
      <c r="E26">
        <v>14.05</v>
      </c>
      <c r="F26">
        <v>0.41885</v>
      </c>
      <c r="G26">
        <v>4772.76</v>
      </c>
      <c r="H26">
        <v>0.52126746913535882</v>
      </c>
    </row>
    <row r="27" spans="1:8" x14ac:dyDescent="0.4">
      <c r="A27" t="s">
        <v>32</v>
      </c>
      <c r="B27">
        <v>2201798.7999999998</v>
      </c>
      <c r="C27">
        <v>13.399559999999999</v>
      </c>
      <c r="D27">
        <v>15552152</v>
      </c>
      <c r="E27">
        <v>10.47</v>
      </c>
      <c r="F27">
        <v>0.62699199999999999</v>
      </c>
      <c r="G27">
        <v>22179.42</v>
      </c>
      <c r="H27">
        <v>0.47844539737082981</v>
      </c>
    </row>
    <row r="28" spans="1:8" x14ac:dyDescent="0.4">
      <c r="A28" t="s">
        <v>33</v>
      </c>
      <c r="B28">
        <v>6299640</v>
      </c>
      <c r="C28">
        <v>11.437580000000001</v>
      </c>
      <c r="D28">
        <v>25367098</v>
      </c>
      <c r="E28">
        <v>17.21</v>
      </c>
      <c r="F28">
        <v>0.66436799999999996</v>
      </c>
      <c r="G28">
        <v>23968.848000000002</v>
      </c>
      <c r="H28">
        <v>0.77021975827661515</v>
      </c>
    </row>
    <row r="29" spans="1:8" x14ac:dyDescent="0.4">
      <c r="A29" s="15" t="s">
        <v>34</v>
      </c>
      <c r="B29" s="15">
        <v>49154.36</v>
      </c>
      <c r="C29" s="15">
        <v>13.853</v>
      </c>
      <c r="D29" s="15">
        <v>1892776</v>
      </c>
      <c r="E29" s="15">
        <v>7.45</v>
      </c>
      <c r="F29" s="15">
        <v>0.67796100000000004</v>
      </c>
      <c r="G29" s="15">
        <v>28906.48</v>
      </c>
      <c r="H29" s="15">
        <v>1</v>
      </c>
    </row>
    <row r="30" spans="1:8" x14ac:dyDescent="0.4">
      <c r="A30" t="s">
        <v>35</v>
      </c>
      <c r="B30">
        <v>12815863</v>
      </c>
      <c r="C30">
        <v>12.585039999999999</v>
      </c>
      <c r="D30">
        <v>209520130</v>
      </c>
      <c r="E30">
        <v>10.8</v>
      </c>
      <c r="F30">
        <v>0.74280800000000002</v>
      </c>
      <c r="G30">
        <v>44912.663999999997</v>
      </c>
      <c r="H30">
        <v>0.4871025393045294</v>
      </c>
    </row>
    <row r="31" spans="1:8" x14ac:dyDescent="0.4">
      <c r="A31" s="15" t="s">
        <v>36</v>
      </c>
      <c r="B31" s="15">
        <v>4156485.5</v>
      </c>
      <c r="C31" s="15">
        <v>6.8202999999999996</v>
      </c>
      <c r="D31" s="15">
        <v>75014970</v>
      </c>
      <c r="E31" s="15">
        <v>6.96</v>
      </c>
      <c r="F31" s="15">
        <v>0.80465399999999998</v>
      </c>
      <c r="G31" s="15">
        <v>82983.990000000005</v>
      </c>
      <c r="H31" s="15">
        <v>1</v>
      </c>
    </row>
    <row r="32" spans="1:8" x14ac:dyDescent="0.4">
      <c r="A32" t="s">
        <v>37</v>
      </c>
      <c r="B32">
        <v>27035148</v>
      </c>
      <c r="C32">
        <v>22.587910000000001</v>
      </c>
      <c r="D32">
        <v>353246460</v>
      </c>
      <c r="E32">
        <v>17.87</v>
      </c>
      <c r="F32">
        <v>0.65846499999999997</v>
      </c>
      <c r="G32">
        <v>24285.14</v>
      </c>
      <c r="H32">
        <v>0.28140757394828392</v>
      </c>
    </row>
    <row r="33" spans="1:8" x14ac:dyDescent="0.4">
      <c r="A33" t="s">
        <v>38</v>
      </c>
      <c r="B33">
        <v>3354506.2</v>
      </c>
      <c r="C33">
        <v>8.6753400000000003</v>
      </c>
      <c r="D33">
        <v>63353732</v>
      </c>
      <c r="E33">
        <v>12.14</v>
      </c>
      <c r="F33">
        <v>0.62483999999999995</v>
      </c>
      <c r="G33">
        <v>24983.701000000001</v>
      </c>
      <c r="H33">
        <v>0.72560318641831945</v>
      </c>
    </row>
    <row r="34" spans="1:8" x14ac:dyDescent="0.4">
      <c r="A34" t="s">
        <v>39</v>
      </c>
      <c r="B34">
        <v>9536401</v>
      </c>
      <c r="C34">
        <v>15.41342</v>
      </c>
      <c r="D34">
        <v>100242660</v>
      </c>
      <c r="E34">
        <v>20.21</v>
      </c>
      <c r="F34">
        <v>0.53965700000000005</v>
      </c>
      <c r="G34">
        <v>19162.186000000002</v>
      </c>
      <c r="H34">
        <v>0.4771805277750667</v>
      </c>
    </row>
    <row r="35" spans="1:8" x14ac:dyDescent="0.4">
      <c r="A35" t="s">
        <v>40</v>
      </c>
      <c r="B35">
        <v>3466474</v>
      </c>
      <c r="C35">
        <v>25.332979999999999</v>
      </c>
      <c r="D35">
        <v>45359156</v>
      </c>
      <c r="E35">
        <v>14.77</v>
      </c>
      <c r="F35">
        <v>0.47647099999999998</v>
      </c>
      <c r="G35">
        <v>13013.853999999999</v>
      </c>
      <c r="H35">
        <v>0.35304050123207648</v>
      </c>
    </row>
    <row r="36" spans="1:8" x14ac:dyDescent="0.4">
      <c r="A36" t="s">
        <v>41</v>
      </c>
      <c r="B36">
        <v>3237510.5</v>
      </c>
      <c r="C36">
        <v>19.049779999999998</v>
      </c>
      <c r="D36">
        <v>62561244</v>
      </c>
      <c r="E36">
        <v>19.59</v>
      </c>
      <c r="F36">
        <v>0.65545699999999996</v>
      </c>
      <c r="G36">
        <v>24647.719000000001</v>
      </c>
      <c r="H36">
        <v>0.65191386333548906</v>
      </c>
    </row>
    <row r="37" spans="1:8" x14ac:dyDescent="0.4">
      <c r="A37" s="15" t="s">
        <v>42</v>
      </c>
      <c r="B37" s="15">
        <v>794894.94</v>
      </c>
      <c r="C37" s="15">
        <v>17.55293</v>
      </c>
      <c r="D37" s="15">
        <v>20779568</v>
      </c>
      <c r="E37" s="15">
        <v>19.940000000000001</v>
      </c>
      <c r="F37" s="15">
        <v>0.72378500000000001</v>
      </c>
      <c r="G37" s="15">
        <v>26186.248</v>
      </c>
      <c r="H37" s="15">
        <v>1</v>
      </c>
    </row>
    <row r="38" spans="1:8" x14ac:dyDescent="0.4">
      <c r="A38" t="s">
        <v>43</v>
      </c>
      <c r="B38">
        <v>21216588</v>
      </c>
      <c r="C38">
        <v>11.11022</v>
      </c>
      <c r="D38">
        <v>324089500</v>
      </c>
      <c r="E38">
        <v>11.29</v>
      </c>
      <c r="F38">
        <v>0.66597989999999996</v>
      </c>
      <c r="G38">
        <v>32057.098000000002</v>
      </c>
      <c r="H38">
        <v>0.5244027571011195</v>
      </c>
    </row>
    <row r="39" spans="1:8" x14ac:dyDescent="0.4">
      <c r="A39" s="15" t="s">
        <v>44</v>
      </c>
      <c r="B39" s="15">
        <v>9205298</v>
      </c>
      <c r="C39" s="15">
        <v>6.3726599999999998</v>
      </c>
      <c r="D39" s="15">
        <v>75343464</v>
      </c>
      <c r="E39" s="15">
        <v>13.61</v>
      </c>
      <c r="F39" s="15">
        <v>0.78541799999999995</v>
      </c>
      <c r="G39" s="15">
        <v>43782.457000000002</v>
      </c>
      <c r="H39" s="15">
        <v>1</v>
      </c>
    </row>
    <row r="40" spans="1:8" x14ac:dyDescent="0.4">
      <c r="A40" s="15" t="s">
        <v>45</v>
      </c>
      <c r="B40" s="15">
        <v>2282562.7999999998</v>
      </c>
      <c r="C40" s="15">
        <v>10.81907</v>
      </c>
      <c r="D40" s="15">
        <v>45879580</v>
      </c>
      <c r="E40" s="15">
        <v>17.12</v>
      </c>
      <c r="F40" s="15">
        <v>0.84757000000000005</v>
      </c>
      <c r="G40" s="15">
        <v>60070.866999999998</v>
      </c>
      <c r="H40" s="15">
        <v>1</v>
      </c>
    </row>
    <row r="41" spans="1:8" x14ac:dyDescent="0.4">
      <c r="A41" t="s">
        <v>46</v>
      </c>
      <c r="B41">
        <v>1821999.2</v>
      </c>
      <c r="C41">
        <v>63.279150000000001</v>
      </c>
      <c r="D41">
        <v>16845876</v>
      </c>
      <c r="E41">
        <v>10.08</v>
      </c>
      <c r="F41">
        <v>0.24573400000000001</v>
      </c>
      <c r="G41">
        <v>3784.3434999999999</v>
      </c>
      <c r="H41">
        <v>0.2511203365325067</v>
      </c>
    </row>
    <row r="42" spans="1:8" x14ac:dyDescent="0.4">
      <c r="A42" t="s">
        <v>47</v>
      </c>
      <c r="B42">
        <v>23037010</v>
      </c>
      <c r="C42">
        <v>14.66802</v>
      </c>
      <c r="D42">
        <v>312214500</v>
      </c>
      <c r="E42">
        <v>11.9</v>
      </c>
      <c r="F42">
        <v>0.41184900000000002</v>
      </c>
      <c r="G42">
        <v>8959.1740000000009</v>
      </c>
      <c r="H42">
        <v>0.39720630323656497</v>
      </c>
    </row>
    <row r="43" spans="1:8" x14ac:dyDescent="0.4">
      <c r="A43" t="s">
        <v>48</v>
      </c>
      <c r="B43">
        <v>30488942</v>
      </c>
      <c r="C43">
        <v>11.082789999999999</v>
      </c>
      <c r="D43">
        <v>517176200</v>
      </c>
      <c r="E43">
        <v>9.2899999999999991</v>
      </c>
      <c r="F43">
        <v>0.78159500000000004</v>
      </c>
      <c r="G43">
        <v>37101.226999999999</v>
      </c>
      <c r="H43">
        <v>0.57244912141938331</v>
      </c>
    </row>
    <row r="44" spans="1:8" x14ac:dyDescent="0.4">
      <c r="A44" t="s">
        <v>49</v>
      </c>
      <c r="B44">
        <v>251828430</v>
      </c>
      <c r="C44">
        <v>8.3103599999999993</v>
      </c>
      <c r="D44">
        <v>6248505300</v>
      </c>
      <c r="E44">
        <v>11.7</v>
      </c>
      <c r="F44">
        <v>0.77281093999999995</v>
      </c>
      <c r="G44">
        <v>52808.152000000002</v>
      </c>
      <c r="H44">
        <v>0.76558570800033254</v>
      </c>
    </row>
    <row r="45" spans="1:8" x14ac:dyDescent="0.4">
      <c r="A45" t="s">
        <v>50</v>
      </c>
      <c r="B45">
        <v>12312490</v>
      </c>
      <c r="C45">
        <v>48.461559999999999</v>
      </c>
      <c r="D45">
        <v>178154300</v>
      </c>
      <c r="E45">
        <v>12.81</v>
      </c>
      <c r="F45">
        <v>0.27352799999999999</v>
      </c>
      <c r="G45">
        <v>9381.3469999999998</v>
      </c>
      <c r="H45">
        <v>0.13538395856296839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Short_Raw data_finalversion</vt:lpstr>
      <vt:lpstr>Short_Raw data</vt:lpstr>
      <vt:lpstr>CCR_Results</vt:lpstr>
      <vt:lpstr>Efficiencies &amp; Slacks</vt:lpstr>
      <vt:lpstr>Lambda Weights</vt:lpstr>
      <vt:lpstr>Radar Plot Analysis</vt:lpstr>
      <vt:lpstr>Data definition</vt:lpstr>
      <vt:lpstr>Raw data</vt:lpstr>
      <vt:lpstr>BCC_Results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Ha Nguyên</dc:creator>
  <cp:keywords/>
  <dc:description/>
  <cp:lastModifiedBy>Louise Caustur</cp:lastModifiedBy>
  <cp:revision/>
  <dcterms:created xsi:type="dcterms:W3CDTF">2024-11-24T11:41:02Z</dcterms:created>
  <dcterms:modified xsi:type="dcterms:W3CDTF">2024-12-15T12:56:33Z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0x0101003F0EAA9B852C57478D20A07D65135717</vt:lpwstr>
  </property>
</Properties>
</file>