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d.docs.live.net/b6dff9dddffbce59/KULEUVEN/Master 2/Operations Strategy in Manufacturing and Services/Obligatory Assignment/"/>
    </mc:Choice>
  </mc:AlternateContent>
  <xr:revisionPtr revIDLastSave="151" documentId="11_9067A07307FF6EA7F4D28FA1243933C18F9A121D" xr6:coauthVersionLast="47" xr6:coauthVersionMax="47" xr10:uidLastSave="{B30E1DE9-1A45-4A6D-ADAE-AF8C5BF68212}"/>
  <bookViews>
    <workbookView xWindow="5486" yWindow="1029" windowWidth="16457" windowHeight="8965" firstSheet="5" activeTab="8" xr2:uid="{00000000-000D-0000-FFFF-FFFF00000000}"/>
  </bookViews>
  <sheets>
    <sheet name="Raw data" sheetId="1" r:id="rId1"/>
    <sheet name="Short_Raw data_finalversion" sheetId="11" r:id="rId2"/>
    <sheet name="Short_Raw data" sheetId="2" state="hidden" r:id="rId3"/>
    <sheet name="CCR_Results" sheetId="5" state="hidden" r:id="rId4"/>
    <sheet name="Short_Version_Efficiency_Slack" sheetId="13" r:id="rId5"/>
    <sheet name="Lambda Weights" sheetId="14" r:id="rId6"/>
    <sheet name="Data definition" sheetId="3" r:id="rId7"/>
    <sheet name="44 DMUS" sheetId="4" r:id="rId8"/>
    <sheet name="Plots if needed " sheetId="15" r:id="rId9"/>
    <sheet name="BCC_Results" sheetId="6" state="hidden" r:id="rId10"/>
  </sheets>
  <definedNames>
    <definedName name="solver_adj" localSheetId="7" hidden="1">'44 DMUS'!$J$6:$J$14,'44 DMUS'!#REF!</definedName>
    <definedName name="solver_cvg" localSheetId="7" hidden="1">0.0001</definedName>
    <definedName name="solver_drv" localSheetId="7" hidden="1">2</definedName>
    <definedName name="solver_eng" localSheetId="7" hidden="1">2</definedName>
    <definedName name="solver_est" localSheetId="7" hidden="1">1</definedName>
    <definedName name="solver_itr" localSheetId="7" hidden="1">2147483647</definedName>
    <definedName name="solver_lhs1" localSheetId="7" hidden="1">'44 DMUS'!$B$55:$B$57</definedName>
    <definedName name="solver_lhs2" localSheetId="7" hidden="1">'44 DMUS'!$B$58:$B$60</definedName>
    <definedName name="solver_lhs3" localSheetId="7" hidden="1">'44 DMUS'!$B$61</definedName>
    <definedName name="solver_mip" localSheetId="7" hidden="1">2147483647</definedName>
    <definedName name="solver_mni" localSheetId="7" hidden="1">30</definedName>
    <definedName name="solver_mrt" localSheetId="7" hidden="1">0.075</definedName>
    <definedName name="solver_msl" localSheetId="7" hidden="1">2</definedName>
    <definedName name="solver_neg" localSheetId="7" hidden="1">1</definedName>
    <definedName name="solver_nod" localSheetId="7" hidden="1">2147483647</definedName>
    <definedName name="solver_num" localSheetId="7" hidden="1">2</definedName>
    <definedName name="solver_nwt" localSheetId="7" hidden="1">1</definedName>
    <definedName name="solver_opt" localSheetId="7" hidden="1">'44 DMUS'!#REF!</definedName>
    <definedName name="solver_pre" localSheetId="7" hidden="1">0.000001</definedName>
    <definedName name="solver_rbv" localSheetId="7" hidden="1">2</definedName>
    <definedName name="solver_rel1" localSheetId="7" hidden="1">1</definedName>
    <definedName name="solver_rel2" localSheetId="7" hidden="1">3</definedName>
    <definedName name="solver_rel3" localSheetId="7" hidden="1">2</definedName>
    <definedName name="solver_rhs1" localSheetId="7" hidden="1">'44 DMUS'!$D$55:$D$57</definedName>
    <definedName name="solver_rhs2" localSheetId="7" hidden="1">'44 DMUS'!$D$58:$D$60</definedName>
    <definedName name="solver_rhs3" localSheetId="7" hidden="1">'44 DMUS'!$D$61</definedName>
    <definedName name="solver_rlx" localSheetId="7" hidden="1">2</definedName>
    <definedName name="solver_rsd" localSheetId="7" hidden="1">0</definedName>
    <definedName name="solver_scl" localSheetId="7" hidden="1">2</definedName>
    <definedName name="solver_sho" localSheetId="7" hidden="1">2</definedName>
    <definedName name="solver_ssz" localSheetId="7" hidden="1">100</definedName>
    <definedName name="solver_tim" localSheetId="7" hidden="1">2147483647</definedName>
    <definedName name="solver_tol" localSheetId="7" hidden="1">0.01</definedName>
    <definedName name="solver_typ" localSheetId="7" hidden="1">2</definedName>
    <definedName name="solver_val" localSheetId="7" hidden="1">0</definedName>
    <definedName name="solver_ver" localSheetId="7"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1" l="1"/>
  <c r="B26" i="11"/>
  <c r="D25" i="11"/>
  <c r="B25" i="11"/>
  <c r="B24" i="11"/>
  <c r="D24" i="11"/>
  <c r="D23" i="11"/>
  <c r="B23" i="11"/>
  <c r="B22" i="11"/>
  <c r="D22" i="11"/>
  <c r="D21" i="11"/>
  <c r="B21" i="11"/>
  <c r="B20" i="11"/>
  <c r="D20" i="11"/>
  <c r="D19" i="11"/>
  <c r="B19" i="11"/>
  <c r="B18" i="11"/>
  <c r="D18" i="11"/>
  <c r="D17" i="11"/>
  <c r="B17" i="11"/>
  <c r="B16" i="11"/>
  <c r="D16" i="11"/>
  <c r="D15" i="11"/>
  <c r="B15" i="11"/>
  <c r="B14" i="11"/>
  <c r="D14" i="11"/>
  <c r="D13" i="11"/>
  <c r="B13" i="11"/>
  <c r="D12" i="11"/>
  <c r="B12" i="11"/>
  <c r="D11" i="11"/>
  <c r="B11" i="11"/>
  <c r="D10" i="11"/>
  <c r="B10" i="11"/>
  <c r="D9" i="11"/>
  <c r="B9" i="11"/>
  <c r="D8" i="11"/>
  <c r="B8" i="11"/>
  <c r="D7" i="11"/>
  <c r="B7" i="11"/>
  <c r="B6" i="11"/>
  <c r="D6" i="11"/>
  <c r="D5" i="11"/>
  <c r="B5" i="11"/>
  <c r="D4" i="11"/>
  <c r="B4" i="11"/>
  <c r="D3" i="11"/>
  <c r="B3" i="11"/>
  <c r="D2" i="11"/>
  <c r="B2" i="11"/>
  <c r="W6" i="4"/>
  <c r="Z49" i="4"/>
  <c r="X49" i="4"/>
  <c r="U49" i="4"/>
  <c r="AE49" i="4" s="1"/>
  <c r="T49" i="4"/>
  <c r="AD49" i="4" s="1"/>
  <c r="S49" i="4"/>
  <c r="AC49" i="4" s="1"/>
  <c r="Q49" i="4"/>
  <c r="AB49" i="4" s="1"/>
  <c r="P49" i="4"/>
  <c r="AA49" i="4" s="1"/>
  <c r="O49" i="4"/>
  <c r="M49" i="4"/>
  <c r="Y49" i="4" s="1"/>
  <c r="L49" i="4"/>
  <c r="K49" i="4"/>
  <c r="W49" i="4" s="1"/>
  <c r="AB48" i="4"/>
  <c r="Z48" i="4"/>
  <c r="U48" i="4"/>
  <c r="AE48" i="4" s="1"/>
  <c r="T48" i="4"/>
  <c r="AD48" i="4" s="1"/>
  <c r="S48" i="4"/>
  <c r="AC48" i="4" s="1"/>
  <c r="Q48" i="4"/>
  <c r="P48" i="4"/>
  <c r="AA48" i="4" s="1"/>
  <c r="O48" i="4"/>
  <c r="M48" i="4"/>
  <c r="Y48" i="4" s="1"/>
  <c r="L48" i="4"/>
  <c r="X48" i="4" s="1"/>
  <c r="K48" i="4"/>
  <c r="W48" i="4" s="1"/>
  <c r="AD47" i="4"/>
  <c r="AB47" i="4"/>
  <c r="U47" i="4"/>
  <c r="AE47" i="4" s="1"/>
  <c r="T47" i="4"/>
  <c r="S47" i="4"/>
  <c r="AC47" i="4" s="1"/>
  <c r="Q47" i="4"/>
  <c r="P47" i="4"/>
  <c r="AA47" i="4" s="1"/>
  <c r="O47" i="4"/>
  <c r="Z47" i="4" s="1"/>
  <c r="M47" i="4"/>
  <c r="Y47" i="4" s="1"/>
  <c r="L47" i="4"/>
  <c r="X47" i="4" s="1"/>
  <c r="K47" i="4"/>
  <c r="W47" i="4" s="1"/>
  <c r="AD46" i="4"/>
  <c r="X46" i="4"/>
  <c r="U46" i="4"/>
  <c r="AE46" i="4" s="1"/>
  <c r="T46" i="4"/>
  <c r="S46" i="4"/>
  <c r="AC46" i="4" s="1"/>
  <c r="Q46" i="4"/>
  <c r="AB46" i="4" s="1"/>
  <c r="P46" i="4"/>
  <c r="AA46" i="4" s="1"/>
  <c r="O46" i="4"/>
  <c r="Z46" i="4" s="1"/>
  <c r="M46" i="4"/>
  <c r="Y46" i="4" s="1"/>
  <c r="L46" i="4"/>
  <c r="K46" i="4"/>
  <c r="W46" i="4" s="1"/>
  <c r="Z45" i="4"/>
  <c r="X45" i="4"/>
  <c r="U45" i="4"/>
  <c r="AE45" i="4" s="1"/>
  <c r="T45" i="4"/>
  <c r="AD45" i="4" s="1"/>
  <c r="S45" i="4"/>
  <c r="AC45" i="4" s="1"/>
  <c r="Q45" i="4"/>
  <c r="AB45" i="4" s="1"/>
  <c r="P45" i="4"/>
  <c r="AA45" i="4" s="1"/>
  <c r="O45" i="4"/>
  <c r="M45" i="4"/>
  <c r="Y45" i="4" s="1"/>
  <c r="L45" i="4"/>
  <c r="K45" i="4"/>
  <c r="W45" i="4" s="1"/>
  <c r="AB44" i="4"/>
  <c r="Z44" i="4"/>
  <c r="U44" i="4"/>
  <c r="AE44" i="4" s="1"/>
  <c r="T44" i="4"/>
  <c r="AD44" i="4" s="1"/>
  <c r="S44" i="4"/>
  <c r="AC44" i="4" s="1"/>
  <c r="Q44" i="4"/>
  <c r="P44" i="4"/>
  <c r="AA44" i="4" s="1"/>
  <c r="O44" i="4"/>
  <c r="M44" i="4"/>
  <c r="Y44" i="4" s="1"/>
  <c r="L44" i="4"/>
  <c r="X44" i="4" s="1"/>
  <c r="K44" i="4"/>
  <c r="W44" i="4" s="1"/>
  <c r="AD43" i="4"/>
  <c r="AB43" i="4"/>
  <c r="U43" i="4"/>
  <c r="AE43" i="4" s="1"/>
  <c r="T43" i="4"/>
  <c r="S43" i="4"/>
  <c r="AC43" i="4" s="1"/>
  <c r="Q43" i="4"/>
  <c r="P43" i="4"/>
  <c r="AA43" i="4" s="1"/>
  <c r="O43" i="4"/>
  <c r="Z43" i="4" s="1"/>
  <c r="M43" i="4"/>
  <c r="Y43" i="4" s="1"/>
  <c r="L43" i="4"/>
  <c r="X43" i="4" s="1"/>
  <c r="K43" i="4"/>
  <c r="W43" i="4" s="1"/>
  <c r="AD42" i="4"/>
  <c r="X42" i="4"/>
  <c r="U42" i="4"/>
  <c r="AE42" i="4" s="1"/>
  <c r="T42" i="4"/>
  <c r="S42" i="4"/>
  <c r="AC42" i="4" s="1"/>
  <c r="Q42" i="4"/>
  <c r="AB42" i="4" s="1"/>
  <c r="P42" i="4"/>
  <c r="AA42" i="4" s="1"/>
  <c r="O42" i="4"/>
  <c r="Z42" i="4" s="1"/>
  <c r="M42" i="4"/>
  <c r="Y42" i="4" s="1"/>
  <c r="L42" i="4"/>
  <c r="K42" i="4"/>
  <c r="W42" i="4" s="1"/>
  <c r="Z41" i="4"/>
  <c r="X41" i="4"/>
  <c r="U41" i="4"/>
  <c r="AE41" i="4" s="1"/>
  <c r="T41" i="4"/>
  <c r="AD41" i="4" s="1"/>
  <c r="S41" i="4"/>
  <c r="AC41" i="4" s="1"/>
  <c r="Q41" i="4"/>
  <c r="AB41" i="4" s="1"/>
  <c r="P41" i="4"/>
  <c r="AA41" i="4" s="1"/>
  <c r="O41" i="4"/>
  <c r="M41" i="4"/>
  <c r="Y41" i="4" s="1"/>
  <c r="L41" i="4"/>
  <c r="K41" i="4"/>
  <c r="W41" i="4" s="1"/>
  <c r="AB40" i="4"/>
  <c r="Z40" i="4"/>
  <c r="U40" i="4"/>
  <c r="AE40" i="4" s="1"/>
  <c r="T40" i="4"/>
  <c r="AD40" i="4" s="1"/>
  <c r="S40" i="4"/>
  <c r="AC40" i="4" s="1"/>
  <c r="Q40" i="4"/>
  <c r="P40" i="4"/>
  <c r="AA40" i="4" s="1"/>
  <c r="O40" i="4"/>
  <c r="M40" i="4"/>
  <c r="Y40" i="4" s="1"/>
  <c r="L40" i="4"/>
  <c r="X40" i="4" s="1"/>
  <c r="K40" i="4"/>
  <c r="W40" i="4" s="1"/>
  <c r="AD39" i="4"/>
  <c r="AB39" i="4"/>
  <c r="U39" i="4"/>
  <c r="AE39" i="4" s="1"/>
  <c r="T39" i="4"/>
  <c r="S39" i="4"/>
  <c r="AC39" i="4" s="1"/>
  <c r="Q39" i="4"/>
  <c r="P39" i="4"/>
  <c r="AA39" i="4" s="1"/>
  <c r="O39" i="4"/>
  <c r="Z39" i="4" s="1"/>
  <c r="M39" i="4"/>
  <c r="Y39" i="4" s="1"/>
  <c r="L39" i="4"/>
  <c r="X39" i="4" s="1"/>
  <c r="K39" i="4"/>
  <c r="W39" i="4" s="1"/>
  <c r="AD38" i="4"/>
  <c r="X38" i="4"/>
  <c r="U38" i="4"/>
  <c r="AE38" i="4" s="1"/>
  <c r="T38" i="4"/>
  <c r="S38" i="4"/>
  <c r="AC38" i="4" s="1"/>
  <c r="Q38" i="4"/>
  <c r="AB38" i="4" s="1"/>
  <c r="P38" i="4"/>
  <c r="AA38" i="4" s="1"/>
  <c r="O38" i="4"/>
  <c r="Z38" i="4" s="1"/>
  <c r="M38" i="4"/>
  <c r="Y38" i="4" s="1"/>
  <c r="L38" i="4"/>
  <c r="K38" i="4"/>
  <c r="W38" i="4" s="1"/>
  <c r="Z37" i="4"/>
  <c r="X37" i="4"/>
  <c r="U37" i="4"/>
  <c r="AE37" i="4" s="1"/>
  <c r="T37" i="4"/>
  <c r="AD37" i="4" s="1"/>
  <c r="S37" i="4"/>
  <c r="AC37" i="4" s="1"/>
  <c r="Q37" i="4"/>
  <c r="AB37" i="4" s="1"/>
  <c r="P37" i="4"/>
  <c r="AA37" i="4" s="1"/>
  <c r="O37" i="4"/>
  <c r="M37" i="4"/>
  <c r="Y37" i="4" s="1"/>
  <c r="L37" i="4"/>
  <c r="K37" i="4"/>
  <c r="W37" i="4" s="1"/>
  <c r="AB36" i="4"/>
  <c r="Z36" i="4"/>
  <c r="U36" i="4"/>
  <c r="AE36" i="4" s="1"/>
  <c r="T36" i="4"/>
  <c r="AD36" i="4" s="1"/>
  <c r="S36" i="4"/>
  <c r="AC36" i="4" s="1"/>
  <c r="Q36" i="4"/>
  <c r="P36" i="4"/>
  <c r="AA36" i="4" s="1"/>
  <c r="O36" i="4"/>
  <c r="M36" i="4"/>
  <c r="Y36" i="4" s="1"/>
  <c r="L36" i="4"/>
  <c r="X36" i="4" s="1"/>
  <c r="K36" i="4"/>
  <c r="W36" i="4" s="1"/>
  <c r="AD35" i="4"/>
  <c r="AB35" i="4"/>
  <c r="U35" i="4"/>
  <c r="AE35" i="4" s="1"/>
  <c r="T35" i="4"/>
  <c r="S35" i="4"/>
  <c r="AC35" i="4" s="1"/>
  <c r="Q35" i="4"/>
  <c r="P35" i="4"/>
  <c r="AA35" i="4" s="1"/>
  <c r="O35" i="4"/>
  <c r="Z35" i="4" s="1"/>
  <c r="M35" i="4"/>
  <c r="Y35" i="4" s="1"/>
  <c r="L35" i="4"/>
  <c r="X35" i="4" s="1"/>
  <c r="K35" i="4"/>
  <c r="W35" i="4" s="1"/>
  <c r="AD34" i="4"/>
  <c r="X34" i="4"/>
  <c r="U34" i="4"/>
  <c r="AE34" i="4" s="1"/>
  <c r="T34" i="4"/>
  <c r="S34" i="4"/>
  <c r="AC34" i="4" s="1"/>
  <c r="Q34" i="4"/>
  <c r="AB34" i="4" s="1"/>
  <c r="P34" i="4"/>
  <c r="AA34" i="4" s="1"/>
  <c r="O34" i="4"/>
  <c r="Z34" i="4" s="1"/>
  <c r="M34" i="4"/>
  <c r="Y34" i="4" s="1"/>
  <c r="L34" i="4"/>
  <c r="K34" i="4"/>
  <c r="W34" i="4" s="1"/>
  <c r="Z33" i="4"/>
  <c r="X33" i="4"/>
  <c r="U33" i="4"/>
  <c r="AE33" i="4" s="1"/>
  <c r="T33" i="4"/>
  <c r="AD33" i="4" s="1"/>
  <c r="S33" i="4"/>
  <c r="AC33" i="4" s="1"/>
  <c r="Q33" i="4"/>
  <c r="AB33" i="4" s="1"/>
  <c r="P33" i="4"/>
  <c r="AA33" i="4" s="1"/>
  <c r="O33" i="4"/>
  <c r="M33" i="4"/>
  <c r="Y33" i="4" s="1"/>
  <c r="L33" i="4"/>
  <c r="K33" i="4"/>
  <c r="W33" i="4" s="1"/>
  <c r="AB32" i="4"/>
  <c r="Z32" i="4"/>
  <c r="U32" i="4"/>
  <c r="AE32" i="4" s="1"/>
  <c r="T32" i="4"/>
  <c r="AD32" i="4" s="1"/>
  <c r="S32" i="4"/>
  <c r="AC32" i="4" s="1"/>
  <c r="Q32" i="4"/>
  <c r="P32" i="4"/>
  <c r="AA32" i="4" s="1"/>
  <c r="O32" i="4"/>
  <c r="M32" i="4"/>
  <c r="Y32" i="4" s="1"/>
  <c r="L32" i="4"/>
  <c r="X32" i="4" s="1"/>
  <c r="K32" i="4"/>
  <c r="W32" i="4" s="1"/>
  <c r="AD31" i="4"/>
  <c r="AB31" i="4"/>
  <c r="U31" i="4"/>
  <c r="AE31" i="4" s="1"/>
  <c r="T31" i="4"/>
  <c r="S31" i="4"/>
  <c r="AC31" i="4" s="1"/>
  <c r="Q31" i="4"/>
  <c r="P31" i="4"/>
  <c r="AA31" i="4" s="1"/>
  <c r="O31" i="4"/>
  <c r="Z31" i="4" s="1"/>
  <c r="M31" i="4"/>
  <c r="Y31" i="4" s="1"/>
  <c r="L31" i="4"/>
  <c r="X31" i="4" s="1"/>
  <c r="K31" i="4"/>
  <c r="W31" i="4" s="1"/>
  <c r="AD30" i="4"/>
  <c r="X30" i="4"/>
  <c r="U30" i="4"/>
  <c r="AE30" i="4" s="1"/>
  <c r="T30" i="4"/>
  <c r="S30" i="4"/>
  <c r="AC30" i="4" s="1"/>
  <c r="Q30" i="4"/>
  <c r="AB30" i="4" s="1"/>
  <c r="P30" i="4"/>
  <c r="AA30" i="4" s="1"/>
  <c r="O30" i="4"/>
  <c r="Z30" i="4" s="1"/>
  <c r="M30" i="4"/>
  <c r="Y30" i="4" s="1"/>
  <c r="L30" i="4"/>
  <c r="K30" i="4"/>
  <c r="W30" i="4" s="1"/>
  <c r="Z29" i="4"/>
  <c r="X29" i="4"/>
  <c r="U29" i="4"/>
  <c r="AE29" i="4" s="1"/>
  <c r="T29" i="4"/>
  <c r="AD29" i="4" s="1"/>
  <c r="S29" i="4"/>
  <c r="AC29" i="4" s="1"/>
  <c r="Q29" i="4"/>
  <c r="AB29" i="4" s="1"/>
  <c r="P29" i="4"/>
  <c r="AA29" i="4" s="1"/>
  <c r="O29" i="4"/>
  <c r="M29" i="4"/>
  <c r="Y29" i="4" s="1"/>
  <c r="L29" i="4"/>
  <c r="K29" i="4"/>
  <c r="W29" i="4" s="1"/>
  <c r="AB28" i="4"/>
  <c r="Z28" i="4"/>
  <c r="U28" i="4"/>
  <c r="AE28" i="4" s="1"/>
  <c r="T28" i="4"/>
  <c r="AD28" i="4" s="1"/>
  <c r="S28" i="4"/>
  <c r="AC28" i="4" s="1"/>
  <c r="Q28" i="4"/>
  <c r="P28" i="4"/>
  <c r="AA28" i="4" s="1"/>
  <c r="O28" i="4"/>
  <c r="M28" i="4"/>
  <c r="Y28" i="4" s="1"/>
  <c r="L28" i="4"/>
  <c r="X28" i="4" s="1"/>
  <c r="K28" i="4"/>
  <c r="W28" i="4" s="1"/>
  <c r="AD27" i="4"/>
  <c r="AB27" i="4"/>
  <c r="U27" i="4"/>
  <c r="AE27" i="4" s="1"/>
  <c r="T27" i="4"/>
  <c r="S27" i="4"/>
  <c r="AC27" i="4" s="1"/>
  <c r="Q27" i="4"/>
  <c r="P27" i="4"/>
  <c r="AA27" i="4" s="1"/>
  <c r="O27" i="4"/>
  <c r="Z27" i="4" s="1"/>
  <c r="M27" i="4"/>
  <c r="Y27" i="4" s="1"/>
  <c r="L27" i="4"/>
  <c r="X27" i="4" s="1"/>
  <c r="K27" i="4"/>
  <c r="W27" i="4" s="1"/>
  <c r="AD26" i="4"/>
  <c r="X26" i="4"/>
  <c r="U26" i="4"/>
  <c r="AE26" i="4" s="1"/>
  <c r="T26" i="4"/>
  <c r="S26" i="4"/>
  <c r="AC26" i="4" s="1"/>
  <c r="Q26" i="4"/>
  <c r="AB26" i="4" s="1"/>
  <c r="P26" i="4"/>
  <c r="AA26" i="4" s="1"/>
  <c r="O26" i="4"/>
  <c r="Z26" i="4" s="1"/>
  <c r="M26" i="4"/>
  <c r="Y26" i="4" s="1"/>
  <c r="L26" i="4"/>
  <c r="K26" i="4"/>
  <c r="W26" i="4" s="1"/>
  <c r="Z25" i="4"/>
  <c r="X25" i="4"/>
  <c r="U25" i="4"/>
  <c r="AE25" i="4" s="1"/>
  <c r="T25" i="4"/>
  <c r="AD25" i="4" s="1"/>
  <c r="S25" i="4"/>
  <c r="AC25" i="4" s="1"/>
  <c r="Q25" i="4"/>
  <c r="AB25" i="4" s="1"/>
  <c r="P25" i="4"/>
  <c r="AA25" i="4" s="1"/>
  <c r="O25" i="4"/>
  <c r="M25" i="4"/>
  <c r="Y25" i="4" s="1"/>
  <c r="L25" i="4"/>
  <c r="K25" i="4"/>
  <c r="W25" i="4" s="1"/>
  <c r="AB24" i="4"/>
  <c r="Z24" i="4"/>
  <c r="U24" i="4"/>
  <c r="AE24" i="4" s="1"/>
  <c r="T24" i="4"/>
  <c r="AD24" i="4" s="1"/>
  <c r="S24" i="4"/>
  <c r="AC24" i="4" s="1"/>
  <c r="Q24" i="4"/>
  <c r="P24" i="4"/>
  <c r="AA24" i="4" s="1"/>
  <c r="O24" i="4"/>
  <c r="M24" i="4"/>
  <c r="Y24" i="4" s="1"/>
  <c r="L24" i="4"/>
  <c r="X24" i="4" s="1"/>
  <c r="K24" i="4"/>
  <c r="W24" i="4" s="1"/>
  <c r="AD23" i="4"/>
  <c r="AB23" i="4"/>
  <c r="U23" i="4"/>
  <c r="AE23" i="4" s="1"/>
  <c r="T23" i="4"/>
  <c r="S23" i="4"/>
  <c r="AC23" i="4" s="1"/>
  <c r="Q23" i="4"/>
  <c r="P23" i="4"/>
  <c r="AA23" i="4" s="1"/>
  <c r="O23" i="4"/>
  <c r="Z23" i="4" s="1"/>
  <c r="M23" i="4"/>
  <c r="Y23" i="4" s="1"/>
  <c r="L23" i="4"/>
  <c r="X23" i="4" s="1"/>
  <c r="K23" i="4"/>
  <c r="W23" i="4" s="1"/>
  <c r="AD22" i="4"/>
  <c r="X22" i="4"/>
  <c r="U22" i="4"/>
  <c r="AE22" i="4" s="1"/>
  <c r="T22" i="4"/>
  <c r="S22" i="4"/>
  <c r="AC22" i="4" s="1"/>
  <c r="Q22" i="4"/>
  <c r="AB22" i="4" s="1"/>
  <c r="P22" i="4"/>
  <c r="AA22" i="4" s="1"/>
  <c r="O22" i="4"/>
  <c r="Z22" i="4" s="1"/>
  <c r="M22" i="4"/>
  <c r="Y22" i="4" s="1"/>
  <c r="L22" i="4"/>
  <c r="K22" i="4"/>
  <c r="W22" i="4" s="1"/>
  <c r="Z21" i="4"/>
  <c r="X21" i="4"/>
  <c r="U21" i="4"/>
  <c r="AE21" i="4" s="1"/>
  <c r="T21" i="4"/>
  <c r="AD21" i="4" s="1"/>
  <c r="S21" i="4"/>
  <c r="AC21" i="4" s="1"/>
  <c r="Q21" i="4"/>
  <c r="AB21" i="4" s="1"/>
  <c r="P21" i="4"/>
  <c r="AA21" i="4" s="1"/>
  <c r="O21" i="4"/>
  <c r="M21" i="4"/>
  <c r="Y21" i="4" s="1"/>
  <c r="L21" i="4"/>
  <c r="K21" i="4"/>
  <c r="W21" i="4" s="1"/>
  <c r="AB20" i="4"/>
  <c r="Z20" i="4"/>
  <c r="U20" i="4"/>
  <c r="AE20" i="4" s="1"/>
  <c r="T20" i="4"/>
  <c r="AD20" i="4" s="1"/>
  <c r="S20" i="4"/>
  <c r="AC20" i="4" s="1"/>
  <c r="Q20" i="4"/>
  <c r="P20" i="4"/>
  <c r="AA20" i="4" s="1"/>
  <c r="O20" i="4"/>
  <c r="M20" i="4"/>
  <c r="Y20" i="4" s="1"/>
  <c r="L20" i="4"/>
  <c r="X20" i="4" s="1"/>
  <c r="K20" i="4"/>
  <c r="W20" i="4" s="1"/>
  <c r="AD19" i="4"/>
  <c r="AB19" i="4"/>
  <c r="U19" i="4"/>
  <c r="AE19" i="4" s="1"/>
  <c r="T19" i="4"/>
  <c r="S19" i="4"/>
  <c r="AC19" i="4" s="1"/>
  <c r="Q19" i="4"/>
  <c r="P19" i="4"/>
  <c r="AA19" i="4" s="1"/>
  <c r="O19" i="4"/>
  <c r="Z19" i="4" s="1"/>
  <c r="M19" i="4"/>
  <c r="Y19" i="4" s="1"/>
  <c r="L19" i="4"/>
  <c r="X19" i="4" s="1"/>
  <c r="K19" i="4"/>
  <c r="W19" i="4" s="1"/>
  <c r="AD18" i="4"/>
  <c r="X18" i="4"/>
  <c r="U18" i="4"/>
  <c r="AE18" i="4" s="1"/>
  <c r="T18" i="4"/>
  <c r="S18" i="4"/>
  <c r="AC18" i="4" s="1"/>
  <c r="Q18" i="4"/>
  <c r="AB18" i="4" s="1"/>
  <c r="P18" i="4"/>
  <c r="AA18" i="4" s="1"/>
  <c r="O18" i="4"/>
  <c r="Z18" i="4" s="1"/>
  <c r="M18" i="4"/>
  <c r="Y18" i="4" s="1"/>
  <c r="L18" i="4"/>
  <c r="K18" i="4"/>
  <c r="W18" i="4" s="1"/>
  <c r="Z17" i="4"/>
  <c r="X17" i="4"/>
  <c r="U17" i="4"/>
  <c r="AE17" i="4" s="1"/>
  <c r="T17" i="4"/>
  <c r="AD17" i="4" s="1"/>
  <c r="S17" i="4"/>
  <c r="AC17" i="4" s="1"/>
  <c r="Q17" i="4"/>
  <c r="AB17" i="4" s="1"/>
  <c r="P17" i="4"/>
  <c r="AA17" i="4" s="1"/>
  <c r="O17" i="4"/>
  <c r="M17" i="4"/>
  <c r="Y17" i="4" s="1"/>
  <c r="L17" i="4"/>
  <c r="K17" i="4"/>
  <c r="W17" i="4" s="1"/>
  <c r="AB16" i="4"/>
  <c r="Z16" i="4"/>
  <c r="U16" i="4"/>
  <c r="AE16" i="4" s="1"/>
  <c r="T16" i="4"/>
  <c r="AD16" i="4" s="1"/>
  <c r="S16" i="4"/>
  <c r="AC16" i="4" s="1"/>
  <c r="Q16" i="4"/>
  <c r="P16" i="4"/>
  <c r="AA16" i="4" s="1"/>
  <c r="O16" i="4"/>
  <c r="M16" i="4"/>
  <c r="Y16" i="4" s="1"/>
  <c r="L16" i="4"/>
  <c r="X16" i="4" s="1"/>
  <c r="K16" i="4"/>
  <c r="W16" i="4" s="1"/>
  <c r="AD15" i="4"/>
  <c r="AB15" i="4"/>
  <c r="U15" i="4"/>
  <c r="AE15" i="4" s="1"/>
  <c r="T15" i="4"/>
  <c r="S15" i="4"/>
  <c r="AC15" i="4" s="1"/>
  <c r="Q15" i="4"/>
  <c r="P15" i="4"/>
  <c r="AA15" i="4" s="1"/>
  <c r="O15" i="4"/>
  <c r="Z15" i="4" s="1"/>
  <c r="M15" i="4"/>
  <c r="Y15" i="4" s="1"/>
  <c r="L15" i="4"/>
  <c r="X15" i="4" s="1"/>
  <c r="K15" i="4"/>
  <c r="W15" i="4" s="1"/>
  <c r="AD14" i="4"/>
  <c r="X14" i="4"/>
  <c r="U14" i="4"/>
  <c r="AE14" i="4" s="1"/>
  <c r="T14" i="4"/>
  <c r="S14" i="4"/>
  <c r="AC14" i="4" s="1"/>
  <c r="Q14" i="4"/>
  <c r="AB14" i="4" s="1"/>
  <c r="P14" i="4"/>
  <c r="AA14" i="4" s="1"/>
  <c r="O14" i="4"/>
  <c r="Z14" i="4" s="1"/>
  <c r="M14" i="4"/>
  <c r="Y14" i="4" s="1"/>
  <c r="L14" i="4"/>
  <c r="K14" i="4"/>
  <c r="W14" i="4" s="1"/>
  <c r="Z13" i="4"/>
  <c r="X13" i="4"/>
  <c r="U13" i="4"/>
  <c r="AE13" i="4" s="1"/>
  <c r="T13" i="4"/>
  <c r="AD13" i="4" s="1"/>
  <c r="S13" i="4"/>
  <c r="AC13" i="4" s="1"/>
  <c r="Q13" i="4"/>
  <c r="AB13" i="4" s="1"/>
  <c r="P13" i="4"/>
  <c r="AA13" i="4" s="1"/>
  <c r="O13" i="4"/>
  <c r="M13" i="4"/>
  <c r="Y13" i="4" s="1"/>
  <c r="L13" i="4"/>
  <c r="K13" i="4"/>
  <c r="W13" i="4" s="1"/>
  <c r="AB12" i="4"/>
  <c r="Z12" i="4"/>
  <c r="U12" i="4"/>
  <c r="AE12" i="4" s="1"/>
  <c r="T12" i="4"/>
  <c r="AD12" i="4" s="1"/>
  <c r="S12" i="4"/>
  <c r="AC12" i="4" s="1"/>
  <c r="Q12" i="4"/>
  <c r="P12" i="4"/>
  <c r="AA12" i="4" s="1"/>
  <c r="O12" i="4"/>
  <c r="M12" i="4"/>
  <c r="Y12" i="4" s="1"/>
  <c r="L12" i="4"/>
  <c r="X12" i="4" s="1"/>
  <c r="K12" i="4"/>
  <c r="W12" i="4" s="1"/>
  <c r="AD11" i="4"/>
  <c r="AB11" i="4"/>
  <c r="U11" i="4"/>
  <c r="AE11" i="4" s="1"/>
  <c r="T11" i="4"/>
  <c r="S11" i="4"/>
  <c r="AC11" i="4" s="1"/>
  <c r="Q11" i="4"/>
  <c r="P11" i="4"/>
  <c r="AA11" i="4" s="1"/>
  <c r="O11" i="4"/>
  <c r="Z11" i="4" s="1"/>
  <c r="M11" i="4"/>
  <c r="Y11" i="4" s="1"/>
  <c r="L11" i="4"/>
  <c r="X11" i="4" s="1"/>
  <c r="K11" i="4"/>
  <c r="W11" i="4" s="1"/>
  <c r="AD10" i="4"/>
  <c r="X10" i="4"/>
  <c r="U10" i="4"/>
  <c r="AE10" i="4" s="1"/>
  <c r="T10" i="4"/>
  <c r="S10" i="4"/>
  <c r="AC10" i="4" s="1"/>
  <c r="Q10" i="4"/>
  <c r="AB10" i="4" s="1"/>
  <c r="P10" i="4"/>
  <c r="AA10" i="4" s="1"/>
  <c r="O10" i="4"/>
  <c r="Z10" i="4" s="1"/>
  <c r="M10" i="4"/>
  <c r="Y10" i="4" s="1"/>
  <c r="L10" i="4"/>
  <c r="K10" i="4"/>
  <c r="W10" i="4" s="1"/>
  <c r="Z9" i="4"/>
  <c r="X9" i="4"/>
  <c r="U9" i="4"/>
  <c r="AE9" i="4" s="1"/>
  <c r="T9" i="4"/>
  <c r="AD9" i="4" s="1"/>
  <c r="S9" i="4"/>
  <c r="AC9" i="4" s="1"/>
  <c r="Q9" i="4"/>
  <c r="AB9" i="4" s="1"/>
  <c r="P9" i="4"/>
  <c r="AA9" i="4" s="1"/>
  <c r="O9" i="4"/>
  <c r="M9" i="4"/>
  <c r="Y9" i="4" s="1"/>
  <c r="L9" i="4"/>
  <c r="K9" i="4"/>
  <c r="W9" i="4" s="1"/>
  <c r="AB8" i="4"/>
  <c r="Z8" i="4"/>
  <c r="U8" i="4"/>
  <c r="AE8" i="4" s="1"/>
  <c r="T8" i="4"/>
  <c r="AD8" i="4" s="1"/>
  <c r="S8" i="4"/>
  <c r="AC8" i="4" s="1"/>
  <c r="Q8" i="4"/>
  <c r="P8" i="4"/>
  <c r="AA8" i="4" s="1"/>
  <c r="O8" i="4"/>
  <c r="M8" i="4"/>
  <c r="Y8" i="4" s="1"/>
  <c r="L8" i="4"/>
  <c r="X8" i="4" s="1"/>
  <c r="K8" i="4"/>
  <c r="W8" i="4" s="1"/>
  <c r="AD7" i="4"/>
  <c r="AB7" i="4"/>
  <c r="U7" i="4"/>
  <c r="AE7" i="4" s="1"/>
  <c r="T7" i="4"/>
  <c r="S7" i="4"/>
  <c r="AC7" i="4" s="1"/>
  <c r="Q7" i="4"/>
  <c r="P7" i="4"/>
  <c r="AA7" i="4" s="1"/>
  <c r="O7" i="4"/>
  <c r="Z7" i="4" s="1"/>
  <c r="M7" i="4"/>
  <c r="Y7" i="4" s="1"/>
  <c r="L7" i="4"/>
  <c r="X7" i="4" s="1"/>
  <c r="K7" i="4"/>
  <c r="W7" i="4" s="1"/>
  <c r="AD6" i="4"/>
  <c r="X6" i="4"/>
  <c r="U6" i="4"/>
  <c r="AE6" i="4" s="1"/>
  <c r="T6" i="4"/>
  <c r="S6" i="4"/>
  <c r="AC6" i="4" s="1"/>
  <c r="Q6" i="4"/>
  <c r="AB6" i="4" s="1"/>
  <c r="P6" i="4"/>
  <c r="AA6" i="4" s="1"/>
  <c r="O6" i="4"/>
  <c r="Z6" i="4" s="1"/>
  <c r="M6" i="4"/>
  <c r="Y6" i="4" s="1"/>
  <c r="L6" i="4"/>
  <c r="K6" i="4"/>
</calcChain>
</file>

<file path=xl/sharedStrings.xml><?xml version="1.0" encoding="utf-8"?>
<sst xmlns="http://schemas.openxmlformats.org/spreadsheetml/2006/main" count="539" uniqueCount="173">
  <si>
    <t>Country</t>
  </si>
  <si>
    <t>Annual nitrous oxide emissions</t>
  </si>
  <si>
    <t>Concentrations of PM2.5</t>
  </si>
  <si>
    <t>Annual greenhouse gas emissions in CO2</t>
  </si>
  <si>
    <t>Manufacturing</t>
  </si>
  <si>
    <t>AHDI</t>
  </si>
  <si>
    <t>GDP per capita</t>
  </si>
  <si>
    <t>Albania</t>
  </si>
  <si>
    <t>Armenia</t>
  </si>
  <si>
    <t>Austria</t>
  </si>
  <si>
    <t>Azerbaijan</t>
  </si>
  <si>
    <t>Belarus</t>
  </si>
  <si>
    <t>Belgium</t>
  </si>
  <si>
    <t>Bulgaria</t>
  </si>
  <si>
    <t>Canada</t>
  </si>
  <si>
    <t>Croatia</t>
  </si>
  <si>
    <t>Cyprus</t>
  </si>
  <si>
    <t>Czechia</t>
  </si>
  <si>
    <t>Denmark</t>
  </si>
  <si>
    <t>Estonia</t>
  </si>
  <si>
    <t>Finland</t>
  </si>
  <si>
    <t>France</t>
  </si>
  <si>
    <t>Georgia</t>
  </si>
  <si>
    <t>Germany</t>
  </si>
  <si>
    <t>Greece</t>
  </si>
  <si>
    <t>Hungary</t>
  </si>
  <si>
    <t>Iceland</t>
  </si>
  <si>
    <t>Ireland</t>
  </si>
  <si>
    <t>Israel</t>
  </si>
  <si>
    <t>Italy</t>
  </si>
  <si>
    <t>Kazakhstan</t>
  </si>
  <si>
    <t>Kyrgyzstan</t>
  </si>
  <si>
    <t>Latvia</t>
  </si>
  <si>
    <t>Lithuania</t>
  </si>
  <si>
    <t>Malta</t>
  </si>
  <si>
    <t>Netherlands</t>
  </si>
  <si>
    <t>Norway</t>
  </si>
  <si>
    <t>Poland</t>
  </si>
  <si>
    <t>Portugal</t>
  </si>
  <si>
    <t>Romania</t>
  </si>
  <si>
    <t>Serbia</t>
  </si>
  <si>
    <t>Slovakia</t>
  </si>
  <si>
    <t>Slovenia</t>
  </si>
  <si>
    <t>Spain</t>
  </si>
  <si>
    <t>Sweden</t>
  </si>
  <si>
    <t>Switzerland</t>
  </si>
  <si>
    <t>Tajikistan</t>
  </si>
  <si>
    <t>Ukraine</t>
  </si>
  <si>
    <t>United Kingdom</t>
  </si>
  <si>
    <t>United States</t>
  </si>
  <si>
    <t>Uzbekistan</t>
  </si>
  <si>
    <t>INPUT/ OUTPUT</t>
  </si>
  <si>
    <t>Code</t>
  </si>
  <si>
    <t>License Type</t>
  </si>
  <si>
    <t>Indicator Name</t>
  </si>
  <si>
    <t>Short definition</t>
  </si>
  <si>
    <t>Long definition</t>
  </si>
  <si>
    <t>Source</t>
  </si>
  <si>
    <t>Topic</t>
  </si>
  <si>
    <t>Dataset</t>
  </si>
  <si>
    <t>Unit of measure</t>
  </si>
  <si>
    <t>Periodicity</t>
  </si>
  <si>
    <t>Aggregation method</t>
  </si>
  <si>
    <t>License URL</t>
  </si>
  <si>
    <t xml:space="preserve">OUTPUT </t>
  </si>
  <si>
    <t>EN.ATM.CO2E.PC</t>
  </si>
  <si>
    <t>Attribution-NonCommercial 4.0 International (CC BY-NC 4.0)</t>
  </si>
  <si>
    <t>CO2 emissions (metric tons per capita)</t>
  </si>
  <si>
    <t>Carbon dioxide emissions are those stemming from the burning of fossil fuels and the manufacture of cement. They include carbon dioxide produced during consumption of solid, liquid, and gas fuels and gas flaring.</t>
  </si>
  <si>
    <t>Emissions data are sourced from Climate Watch Historical GHG Emissions (1990-2020). 2023. Washington, DC: World Resources Institute. Available online at: https://www.climatewatchdata.org/ghg-emissions</t>
  </si>
  <si>
    <t>Environment: Emissions</t>
  </si>
  <si>
    <t>Annual</t>
  </si>
  <si>
    <t>Weighted average</t>
  </si>
  <si>
    <t>https://creativecommons.org/licenses/by-nc/4.0/</t>
  </si>
  <si>
    <t>NY.GDP.PCAP.CD</t>
  </si>
  <si>
    <t>CC BY-4.0</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</si>
  <si>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</si>
  <si>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</si>
  <si>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World Bank national accounts data, and OECD National Accounts data files.</t>
  </si>
  <si>
    <t>Economic Policy &amp; Debt: National accounts: US$ at current prices: Aggregate indicators</t>
  </si>
  <si>
    <t>https://datacatalog.worldbank.org/public-licenses#cc-by</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</si>
  <si>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</si>
  <si>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</si>
  <si>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</si>
  <si>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Economic Policy &amp; Debt: National accounts: Shares of GDP &amp; other</t>
  </si>
  <si>
    <t>NY.GDP.TOTL.RT.ZS</t>
  </si>
  <si>
    <t>Total natural resources rents (% of GDP)</t>
  </si>
  <si>
    <t>Total natural resources rents are the sum of oil rents, natural gas rents, coal rents (hard and soft), mineral rents, and forest rents.</t>
  </si>
  <si>
    <t>World Bank staff estimates based on sources and methods described in the World Bank's The Changing Wealth of Nations.</t>
  </si>
  <si>
    <t>Environment: Natural resources contribution to GDP</t>
  </si>
  <si>
    <t>TG.VAL.TOTL.GD.ZS</t>
  </si>
  <si>
    <t>Merchandise trade (% of GDP)</t>
  </si>
  <si>
    <t>Merchandise trade as a share of GDP is the sum of merchandise exports and imports divided by the value of GDP, all in current U.S. dollars.</t>
  </si>
  <si>
    <t>World Trade Organization, and World Bank GDP estimates.</t>
  </si>
  <si>
    <t>Private Sector &amp; Trade: Total merchandise trade</t>
  </si>
  <si>
    <t>EN.ATM.PM25.MC.ZS</t>
  </si>
  <si>
    <t>PM2.5 air pollution, population exposed to levels exceeding WHO guideline value (% of total)</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</si>
  <si>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</si>
  <si>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Brauer, M. et al. 2017, for the Global Burden of Disease Study 2017.</t>
  </si>
  <si>
    <t>EN.GHG.ALL.LU.MT.CE.AR5</t>
  </si>
  <si>
    <t>CC BY-4.1</t>
  </si>
  <si>
    <t>Total greenhouse gas emissions including LULUCF (Mt CO2e)</t>
  </si>
  <si>
    <t>A measure of annual emissions of the six greenhouse gases (GHG) covered by the Kyoto Protocol (carbon dioxide (CO2), methane (CH4), nitrous oxide (N2O), hydrofluorocarbons (HFCs), perfluorocarbons (PFCs), and sulphurhexafluoride (SF6)) from the energy, industry, waste, agriculture, and land use, land use changes, and forestry (LULUCF) sectors, standardized to carbon dioxide equivalent values. The measure is standardized to carbon dioxide equivalent values using the Global Warming Potential (GWP) factors of IPCC's 5th Assessment Report (AR5).</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</si>
  <si>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https://edgar.jrc.ec.europa.eu/dataset_ghg72; Grassi, G., Conchedda, G., Federici, S., Abad Viñas, R., Korosuo, A., Melo, J., Rossi, S., Sandker, M., Somogyi, Z., and Tubiello, F. N.: Carbon fluxes from land 2000–2020: bringing clarity on countries’ reporting, Earth Syst. Sci. Data, 14, 4643–4666, 2022, doi:10.5194/essd-14-4643-2022. Data available from https://doi.org/10.5281/zenodo.7190601</t>
  </si>
  <si>
    <t>WDI</t>
  </si>
  <si>
    <t>Mt CO2eq</t>
  </si>
  <si>
    <t>Sum</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</si>
  <si>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</si>
  <si>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</si>
  <si>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</si>
  <si>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Gap-filled total</t>
  </si>
  <si>
    <t>SI.POV.GINI</t>
  </si>
  <si>
    <t>Gini index</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</si>
  <si>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</si>
  <si>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</si>
  <si>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</si>
  <si>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Poverty: Income distribution</t>
  </si>
  <si>
    <t>%</t>
  </si>
  <si>
    <t xml:space="preserve">ONLY ON ONE DIMENSION AT A TIME ! </t>
  </si>
  <si>
    <t>INPUT</t>
  </si>
  <si>
    <t>OUTPUT</t>
  </si>
  <si>
    <t xml:space="preserve">OUTPUT : Manufacturing </t>
  </si>
  <si>
    <t>OUTPUT : A</t>
  </si>
  <si>
    <t>OUTPUT : D</t>
  </si>
  <si>
    <t>Efficiencies</t>
  </si>
  <si>
    <t>N</t>
  </si>
  <si>
    <t>C</t>
  </si>
  <si>
    <t>G</t>
  </si>
  <si>
    <t>M</t>
  </si>
  <si>
    <t>A</t>
  </si>
  <si>
    <t>D</t>
  </si>
  <si>
    <t>M/N</t>
  </si>
  <si>
    <t>M/C</t>
  </si>
  <si>
    <t>M/G</t>
  </si>
  <si>
    <t>A/N</t>
  </si>
  <si>
    <t>A/C</t>
  </si>
  <si>
    <t>A/G</t>
  </si>
  <si>
    <t>D/N</t>
  </si>
  <si>
    <t>D/C</t>
  </si>
  <si>
    <t>D/G</t>
  </si>
  <si>
    <t>Efficiency</t>
  </si>
  <si>
    <t>Output Slack 3</t>
  </si>
  <si>
    <t>Output Slack 2</t>
  </si>
  <si>
    <t>Output Slack 1</t>
  </si>
  <si>
    <t>Input Slack 3</t>
  </si>
  <si>
    <t>Input Slack 2</t>
  </si>
  <si>
    <t>Input Slack 1</t>
  </si>
  <si>
    <t>Lambda for DMU 25</t>
  </si>
  <si>
    <t>Lambda for DMU 24</t>
  </si>
  <si>
    <t>Lambda for DMU 23</t>
  </si>
  <si>
    <t>Lambda for DMU 22</t>
  </si>
  <si>
    <t>Lambda for DMU 21</t>
  </si>
  <si>
    <t>Lambda for DMU 20</t>
  </si>
  <si>
    <t>Lambda for DMU 19</t>
  </si>
  <si>
    <t>Lambda for DMU 18</t>
  </si>
  <si>
    <t>Lambda for DMU 17</t>
  </si>
  <si>
    <t>Lambda for DMU 16</t>
  </si>
  <si>
    <t>Lambda for DMU 15</t>
  </si>
  <si>
    <t>Lambda for DMU 14</t>
  </si>
  <si>
    <t>Lambda for DMU 13</t>
  </si>
  <si>
    <t>Lambda for DMU 12</t>
  </si>
  <si>
    <t>Lambda for DMU 11</t>
  </si>
  <si>
    <t>Lambda for DMU 10</t>
  </si>
  <si>
    <t>Lambda for DMU 9</t>
  </si>
  <si>
    <t>Lambda for DMU 8</t>
  </si>
  <si>
    <t>Lambda for DMU 7</t>
  </si>
  <si>
    <t>Lambda for DMU 6</t>
  </si>
  <si>
    <t>Lambda for DMU 5</t>
  </si>
  <si>
    <t>Lambda for DMU 4</t>
  </si>
  <si>
    <t>Lambda for DMU 3</t>
  </si>
  <si>
    <t>Lambda for DMU 2</t>
  </si>
  <si>
    <t>Lambda for DMU 1</t>
  </si>
  <si>
    <t xml:space="preserve">Efficiency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</si>
</sst>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Aptos Narrow"/>
      <family val="2"/>
      <scheme val="minor"/>
    </font>
    <font>
      <b/>
      <sz val="11"/>
      <color theme="1"/>
      <name val="Aptos Narrow"/>
      <family val="2"/>
      <scheme val="minor"/>
    </font>
    <font>
      <sz val="11"/>
      <color rgb="FF000000"/>
      <name val="Calibri"/>
      <family val="2"/>
    </font>
    <font>
      <sz val="11"/>
      <color rgb="FF000000"/>
      <name val="Aptos Narrow"/>
      <family val="2"/>
    </font>
    <font>
      <b/>
      <sz val="11"/>
      <color rgb="FF000000"/>
      <name val="Aptos Narrow"/>
      <family val="2"/>
    </font>
    <font>
      <b/>
      <sz val="11"/>
      <name val="Calibri"/>
      <family val="2"/>
    </font>
    <font>
      <sz val="11"/>
      <color rgb="FF000000"/>
      <name val="Aptos Narrow"/>
      <family val="2"/>
    </font>
  </fonts>
  <fills count="8">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8999908444471571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2" fillId="0" borderId="0" xfId="0" applyFont="1"/>
    <xf numFmtId="3" fontId="0" fillId="0" borderId="0" xfId="0" applyNumberFormat="1"/>
    <xf numFmtId="11" fontId="0" fillId="0" borderId="0" xfId="0" applyNumberFormat="1"/>
    <xf numFmtId="0" fontId="0" fillId="2" borderId="0" xfId="0" applyFill="1"/>
    <xf numFmtId="164" fontId="0" fillId="2" borderId="0" xfId="0" applyNumberFormat="1" applyFill="1"/>
    <xf numFmtId="164" fontId="0" fillId="0" borderId="0" xfId="0" applyNumberFormat="1"/>
    <xf numFmtId="0" fontId="2"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xf numFmtId="0" fontId="1" fillId="4" borderId="0" xfId="0" applyFont="1" applyFill="1"/>
    <xf numFmtId="0" fontId="0" fillId="4" borderId="0" xfId="0" applyFill="1"/>
    <xf numFmtId="0" fontId="1" fillId="5" borderId="0" xfId="0" applyFont="1" applyFill="1"/>
    <xf numFmtId="0" fontId="0" fillId="5" borderId="0" xfId="0" applyFill="1"/>
    <xf numFmtId="0" fontId="0" fillId="6" borderId="0" xfId="0" applyFill="1"/>
    <xf numFmtId="0" fontId="1" fillId="6" borderId="0" xfId="0" applyFont="1" applyFill="1"/>
    <xf numFmtId="0" fontId="4" fillId="0" borderId="0" xfId="0" applyFont="1"/>
    <xf numFmtId="0" fontId="1" fillId="0" borderId="0" xfId="0" applyFont="1"/>
    <xf numFmtId="0" fontId="0" fillId="3" borderId="0" xfId="0" applyFill="1"/>
    <xf numFmtId="0" fontId="5" fillId="0" borderId="1" xfId="0" applyFont="1" applyBorder="1" applyAlignment="1">
      <alignment horizontal="center" vertical="top"/>
    </xf>
    <xf numFmtId="0" fontId="6" fillId="0" borderId="0" xfId="0" applyFont="1"/>
    <xf numFmtId="0" fontId="5" fillId="4" borderId="1" xfId="0" applyFont="1" applyFill="1" applyBorder="1" applyAlignment="1">
      <alignment horizontal="center" vertical="top"/>
    </xf>
    <xf numFmtId="0" fontId="5" fillId="5" borderId="1" xfId="0" applyFont="1" applyFill="1" applyBorder="1" applyAlignment="1">
      <alignment horizontal="center" vertical="top"/>
    </xf>
    <xf numFmtId="0" fontId="0" fillId="7" borderId="0" xfId="0" applyFill="1"/>
    <xf numFmtId="0" fontId="5" fillId="7" borderId="1" xfId="0" applyFont="1" applyFill="1" applyBorder="1" applyAlignment="1">
      <alignment horizontal="center" vertical="top"/>
    </xf>
    <xf numFmtId="0" fontId="0" fillId="0" borderId="0" xfId="0" applyAlignment="1">
      <alignment horizontal="center"/>
    </xf>
    <xf numFmtId="0" fontId="0" fillId="0" borderId="0" xfId="0"/>
  </cellXfs>
  <cellStyles count="1">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dxf>
    <dxf>
      <font>
        <strike val="0"/>
        <condense val="0"/>
        <extend val="0"/>
        <outline val="0"/>
        <shadow val="0"/>
        <vertAlign val="baseline"/>
        <sz val="11"/>
        <color rgb="FF000000"/>
        <name val="Calibri"/>
        <family val="2"/>
      </font>
    </dxf>
    <dxf>
      <font>
        <strike val="0"/>
        <condense val="0"/>
        <extend val="0"/>
        <outline val="0"/>
        <shadow val="0"/>
        <vertAlign val="baseline"/>
        <sz val="11"/>
        <color rgb="FF000000"/>
        <name val="Calibri"/>
        <family val="2"/>
      </font>
    </dxf>
    <dxf>
      <font>
        <strike val="0"/>
        <condense val="0"/>
        <extend val="0"/>
        <outline val="0"/>
        <shadow val="0"/>
        <vertAlign val="baseline"/>
        <sz val="11"/>
        <color rgb="FF000000"/>
        <name val="Calibri"/>
        <family val="2"/>
      </font>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r>
              <a:rPr lang="en-US"/>
              <a:t>None</a:t>
            </a:r>
          </a:p>
        </c:rich>
      </c:tx>
      <c:overlay val="0"/>
      <c:spPr>
        <a:noFill/>
        <a:ln>
          <a:noFill/>
          <a:prstDash val="solid"/>
        </a:ln>
      </c:spPr>
    </c:title>
    <c:autoTitleDeleted val="0"/>
    <c:plotArea>
      <c:layout>
        <c:manualLayout>
          <c:layoutTarget val="inner"/>
          <c:xMode val="edge"/>
          <c:yMode val="edge"/>
          <c:x val="7.7418635839897249E-2"/>
          <c:y val="0.13590030437210951"/>
          <c:w val="0.84516272832020556"/>
          <c:h val="0.84816106684767334"/>
        </c:manualLayout>
      </c:layout>
      <c:radarChart>
        <c:radarStyle val="marker"/>
        <c:varyColors val="0"/>
        <c:ser>
          <c:idx val="0"/>
          <c:order val="0"/>
          <c:tx>
            <c:strRef>
              <c:f>'44 DMUS'!$V$6</c:f>
              <c:strCache>
                <c:ptCount val="1"/>
                <c:pt idx="0">
                  <c:v>Albania</c:v>
                </c:pt>
              </c:strCache>
            </c:strRef>
          </c:tx>
          <c:spPr>
            <a:ln w="28575" cap="rnd">
              <a:solidFill>
                <a:schemeClr val="accent1"/>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DMUS'!$W$6:$AE$6</c:f>
              <c:numCache>
                <c:formatCode>General</c:formatCode>
                <c:ptCount val="9"/>
                <c:pt idx="0">
                  <c:v>3.1134730060981906E-2</c:v>
                </c:pt>
                <c:pt idx="1">
                  <c:v>7.8750652719116382E-2</c:v>
                </c:pt>
                <c:pt idx="2">
                  <c:v>0.14863916568265778</c:v>
                </c:pt>
                <c:pt idx="3">
                  <c:v>2.9826270056078876E-2</c:v>
                </c:pt>
                <c:pt idx="4">
                  <c:v>0.21127447144282369</c:v>
                </c:pt>
                <c:pt idx="5">
                  <c:v>0.14239249506508769</c:v>
                </c:pt>
                <c:pt idx="6">
                  <c:v>1.4424642698462239E-2</c:v>
                </c:pt>
                <c:pt idx="7">
                  <c:v>4.4129896440493636E-2</c:v>
                </c:pt>
                <c:pt idx="8">
                  <c:v>6.88641543308839E-2</c:v>
                </c:pt>
              </c:numCache>
            </c:numRef>
          </c:val>
          <c:extLst>
            <c:ext xmlns:c16="http://schemas.microsoft.com/office/drawing/2014/chart" uri="{C3380CC4-5D6E-409C-BE32-E72D297353CC}">
              <c16:uniqueId val="{00000000-F930-418C-B3F5-F146D73FC978}"/>
            </c:ext>
          </c:extLst>
        </c:ser>
        <c:ser>
          <c:idx val="1"/>
          <c:order val="1"/>
          <c:tx>
            <c:strRef>
              <c:f>'44 DMUS'!$V$7</c:f>
              <c:strCache>
                <c:ptCount val="1"/>
                <c:pt idx="0">
                  <c:v>Armenia</c:v>
                </c:pt>
              </c:strCache>
            </c:strRef>
          </c:tx>
          <c:spPr>
            <a:ln w="28575" cap="rnd">
              <a:solidFill>
                <a:schemeClr val="accent2"/>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DMUS'!$W$7:$AE$7</c:f>
              <c:numCache>
                <c:formatCode>General</c:formatCode>
                <c:ptCount val="9"/>
                <c:pt idx="0">
                  <c:v>5.7096888298947462E-2</c:v>
                </c:pt>
                <c:pt idx="1">
                  <c:v>5.9830059789255714E-2</c:v>
                </c:pt>
                <c:pt idx="2">
                  <c:v>0.26584573693177271</c:v>
                </c:pt>
                <c:pt idx="3">
                  <c:v>2.9852908880686313E-2</c:v>
                </c:pt>
                <c:pt idx="4">
                  <c:v>8.7605762204704174E-2</c:v>
                </c:pt>
                <c:pt idx="5">
                  <c:v>0.13899651622677686</c:v>
                </c:pt>
                <c:pt idx="6">
                  <c:v>1.6099678496045516E-2</c:v>
                </c:pt>
                <c:pt idx="7">
                  <c:v>2.0405300102528931E-2</c:v>
                </c:pt>
                <c:pt idx="8">
                  <c:v>7.4960843255353612E-2</c:v>
                </c:pt>
              </c:numCache>
            </c:numRef>
          </c:val>
          <c:extLst>
            <c:ext xmlns:c16="http://schemas.microsoft.com/office/drawing/2014/chart" uri="{C3380CC4-5D6E-409C-BE32-E72D297353CC}">
              <c16:uniqueId val="{00000001-F930-418C-B3F5-F146D73FC978}"/>
            </c:ext>
          </c:extLst>
        </c:ser>
        <c:ser>
          <c:idx val="2"/>
          <c:order val="2"/>
          <c:tx>
            <c:strRef>
              <c:f>'44 DMUS'!$V$8</c:f>
              <c:strCache>
                <c:ptCount val="1"/>
                <c:pt idx="0">
                  <c:v>Austria</c:v>
                </c:pt>
              </c:strCache>
            </c:strRef>
          </c:tx>
          <c:spPr>
            <a:ln w="28575" cap="rnd">
              <a:solidFill>
                <a:schemeClr val="accent3"/>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DMUS'!$W$8:$AE$8</c:f>
              <c:numCache>
                <c:formatCode>General</c:formatCode>
                <c:ptCount val="9"/>
                <c:pt idx="0">
                  <c:v>2.7717415168441086E-2</c:v>
                </c:pt>
                <c:pt idx="1">
                  <c:v>0.32287854520158332</c:v>
                </c:pt>
                <c:pt idx="2">
                  <c:v>5.6191269473583126E-2</c:v>
                </c:pt>
                <c:pt idx="3">
                  <c:v>1.2927819442349605E-2</c:v>
                </c:pt>
                <c:pt idx="4">
                  <c:v>0.4217457932291932</c:v>
                </c:pt>
                <c:pt idx="5">
                  <c:v>2.6208453478663626E-2</c:v>
                </c:pt>
                <c:pt idx="6">
                  <c:v>1.7658002393036075E-2</c:v>
                </c:pt>
                <c:pt idx="7">
                  <c:v>0.24879796203360074</c:v>
                </c:pt>
                <c:pt idx="8">
                  <c:v>3.5797911342108447E-2</c:v>
                </c:pt>
              </c:numCache>
            </c:numRef>
          </c:val>
          <c:extLst>
            <c:ext xmlns:c16="http://schemas.microsoft.com/office/drawing/2014/chart" uri="{C3380CC4-5D6E-409C-BE32-E72D297353CC}">
              <c16:uniqueId val="{00000002-F930-418C-B3F5-F146D73FC978}"/>
            </c:ext>
          </c:extLst>
        </c:ser>
        <c:ser>
          <c:idx val="3"/>
          <c:order val="3"/>
          <c:tx>
            <c:strRef>
              <c:f>'44 DMUS'!$V$9</c:f>
              <c:strCache>
                <c:ptCount val="1"/>
                <c:pt idx="0">
                  <c:v>Azerbaijan</c:v>
                </c:pt>
              </c:strCache>
            </c:strRef>
          </c:tx>
          <c:spPr>
            <a:ln w="28575" cap="rnd">
              <a:solidFill>
                <a:schemeClr val="accent4"/>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DMUS'!$W$9:$AE$9</c:f>
              <c:numCache>
                <c:formatCode>General</c:formatCode>
                <c:ptCount val="9"/>
                <c:pt idx="0">
                  <c:v>9.2292346226191743E-3</c:v>
                </c:pt>
                <c:pt idx="1">
                  <c:v>4.4345777919790899E-2</c:v>
                </c:pt>
                <c:pt idx="2">
                  <c:v>2.1057218660048126E-2</c:v>
                </c:pt>
                <c:pt idx="3">
                  <c:v>6.2237026624661143E-3</c:v>
                </c:pt>
                <c:pt idx="4">
                  <c:v>8.3748000684029475E-2</c:v>
                </c:pt>
                <c:pt idx="5">
                  <c:v>1.4199863065295092E-2</c:v>
                </c:pt>
                <c:pt idx="6">
                  <c:v>8.3246102299712171E-3</c:v>
                </c:pt>
                <c:pt idx="7">
                  <c:v>4.8380381210354012E-2</c:v>
                </c:pt>
                <c:pt idx="8">
                  <c:v>1.8993247548671682E-2</c:v>
                </c:pt>
              </c:numCache>
            </c:numRef>
          </c:val>
          <c:extLst>
            <c:ext xmlns:c16="http://schemas.microsoft.com/office/drawing/2014/chart" uri="{C3380CC4-5D6E-409C-BE32-E72D297353CC}">
              <c16:uniqueId val="{00000003-F930-418C-B3F5-F146D73FC978}"/>
            </c:ext>
          </c:extLst>
        </c:ser>
        <c:ser>
          <c:idx val="4"/>
          <c:order val="4"/>
          <c:tx>
            <c:strRef>
              <c:f>'44 DMUS'!$V$10</c:f>
              <c:strCache>
                <c:ptCount val="1"/>
                <c:pt idx="0">
                  <c:v>Belarus</c:v>
                </c:pt>
              </c:strCache>
            </c:strRef>
          </c:tx>
          <c:spPr>
            <a:ln w="28575" cap="rnd">
              <a:solidFill>
                <a:schemeClr val="accent5"/>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DMUS'!$W$10:$AE$10</c:f>
              <c:numCache>
                <c:formatCode>General</c:formatCode>
                <c:ptCount val="9"/>
                <c:pt idx="0">
                  <c:v>4.7336232441082876E-3</c:v>
                </c:pt>
                <c:pt idx="1">
                  <c:v>0.32996853598208087</c:v>
                </c:pt>
                <c:pt idx="2">
                  <c:v>4.6991573148144741E-2</c:v>
                </c:pt>
                <c:pt idx="3">
                  <c:v>9.6128866355558638E-4</c:v>
                </c:pt>
                <c:pt idx="4">
                  <c:v>0.18765998725351463</c:v>
                </c:pt>
                <c:pt idx="5">
                  <c:v>9.5428943581808371E-3</c:v>
                </c:pt>
                <c:pt idx="6">
                  <c:v>1.071203211575462E-3</c:v>
                </c:pt>
                <c:pt idx="7">
                  <c:v>9.0316997949881891E-2</c:v>
                </c:pt>
                <c:pt idx="8">
                  <c:v>1.0634036862973532E-2</c:v>
                </c:pt>
              </c:numCache>
            </c:numRef>
          </c:val>
          <c:extLst>
            <c:ext xmlns:c16="http://schemas.microsoft.com/office/drawing/2014/chart" uri="{C3380CC4-5D6E-409C-BE32-E72D297353CC}">
              <c16:uniqueId val="{00000004-F930-418C-B3F5-F146D73FC978}"/>
            </c:ext>
          </c:extLst>
        </c:ser>
        <c:ser>
          <c:idx val="5"/>
          <c:order val="5"/>
          <c:tx>
            <c:strRef>
              <c:f>'44 DMUS'!$V$11</c:f>
              <c:strCache>
                <c:ptCount val="1"/>
                <c:pt idx="0">
                  <c:v>Belgium</c:v>
                </c:pt>
              </c:strCache>
            </c:strRef>
          </c:tx>
          <c:spPr>
            <a:ln w="28575" cap="rnd">
              <a:solidFill>
                <a:schemeClr val="accent6"/>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DMUS'!$W$11:$AE$11</c:f>
              <c:numCache>
                <c:formatCode>General</c:formatCode>
                <c:ptCount val="9"/>
                <c:pt idx="0">
                  <c:v>8.9800774476232522E-3</c:v>
                </c:pt>
                <c:pt idx="1">
                  <c:v>0.25195934650555757</c:v>
                </c:pt>
                <c:pt idx="2">
                  <c:v>2.5474813929419055E-2</c:v>
                </c:pt>
                <c:pt idx="3">
                  <c:v>5.5384415484034059E-3</c:v>
                </c:pt>
                <c:pt idx="4">
                  <c:v>0.43518807708518864</c:v>
                </c:pt>
                <c:pt idx="5">
                  <c:v>1.5711531301089467E-2</c:v>
                </c:pt>
                <c:pt idx="6">
                  <c:v>7.1420979043909753E-3</c:v>
                </c:pt>
                <c:pt idx="7">
                  <c:v>0.24237899301956914</c:v>
                </c:pt>
                <c:pt idx="8">
                  <c:v>2.0260806907429145E-2</c:v>
                </c:pt>
              </c:numCache>
            </c:numRef>
          </c:val>
          <c:extLst>
            <c:ext xmlns:c16="http://schemas.microsoft.com/office/drawing/2014/chart" uri="{C3380CC4-5D6E-409C-BE32-E72D297353CC}">
              <c16:uniqueId val="{00000005-F930-418C-B3F5-F146D73FC978}"/>
            </c:ext>
          </c:extLst>
        </c:ser>
        <c:ser>
          <c:idx val="6"/>
          <c:order val="6"/>
          <c:tx>
            <c:strRef>
              <c:f>'44 DMUS'!$V$12</c:f>
              <c:strCache>
                <c:ptCount val="1"/>
                <c:pt idx="0">
                  <c:v>Bulgaria</c:v>
                </c:pt>
              </c:strCache>
            </c:strRef>
          </c:tx>
          <c:spPr>
            <a:ln w="28575" cap="rnd">
              <a:solidFill>
                <a:schemeClr val="accent1">
                  <a:lumMod val="6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DMUS'!$W$12:$AE$12</c:f>
              <c:numCache>
                <c:formatCode>General</c:formatCode>
                <c:ptCount val="9"/>
                <c:pt idx="0">
                  <c:v>2.3371236458767278E-2</c:v>
                </c:pt>
                <c:pt idx="1">
                  <c:v>0.17605093496109725</c:v>
                </c:pt>
                <c:pt idx="2">
                  <c:v>5.8259570708416294E-2</c:v>
                </c:pt>
                <c:pt idx="3">
                  <c:v>1.0256624411385822E-2</c:v>
                </c:pt>
                <c:pt idx="4">
                  <c:v>0.21637153170730603</c:v>
                </c:pt>
                <c:pt idx="5">
                  <c:v>2.5567604699863567E-2</c:v>
                </c:pt>
                <c:pt idx="6">
                  <c:v>7.1531512211984189E-3</c:v>
                </c:pt>
                <c:pt idx="7">
                  <c:v>6.5173769348341834E-2</c:v>
                </c:pt>
                <c:pt idx="8">
                  <c:v>1.7831299601740656E-2</c:v>
                </c:pt>
              </c:numCache>
            </c:numRef>
          </c:val>
          <c:extLst>
            <c:ext xmlns:c16="http://schemas.microsoft.com/office/drawing/2014/chart" uri="{C3380CC4-5D6E-409C-BE32-E72D297353CC}">
              <c16:uniqueId val="{00000006-F930-418C-B3F5-F146D73FC978}"/>
            </c:ext>
          </c:extLst>
        </c:ser>
        <c:ser>
          <c:idx val="7"/>
          <c:order val="7"/>
          <c:tx>
            <c:strRef>
              <c:f>'44 DMUS'!$V$13</c:f>
              <c:strCache>
                <c:ptCount val="1"/>
                <c:pt idx="0">
                  <c:v>Canada</c:v>
                </c:pt>
              </c:strCache>
            </c:strRef>
          </c:tx>
          <c:spPr>
            <a:ln w="28575" cap="rnd">
              <a:solidFill>
                <a:schemeClr val="accent2">
                  <a:lumMod val="6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DMUS'!$W$13:$AE$13</c:f>
              <c:numCache>
                <c:formatCode>General</c:formatCode>
                <c:ptCount val="9"/>
                <c:pt idx="0">
                  <c:v>1.5535306409134694E-3</c:v>
                </c:pt>
                <c:pt idx="1">
                  <c:v>0.36781782893924625</c:v>
                </c:pt>
                <c:pt idx="2">
                  <c:v>2.9562891523900727E-3</c:v>
                </c:pt>
                <c:pt idx="3">
                  <c:v>1.335801194700499E-3</c:v>
                </c:pt>
                <c:pt idx="4">
                  <c:v>0.88571459567409172</c:v>
                </c:pt>
                <c:pt idx="5">
                  <c:v>2.5419611803219927E-3</c:v>
                </c:pt>
                <c:pt idx="6">
                  <c:v>1.7556696945505827E-3</c:v>
                </c:pt>
                <c:pt idx="7">
                  <c:v>0.50277601606340194</c:v>
                </c:pt>
                <c:pt idx="8">
                  <c:v>3.340949406783522E-3</c:v>
                </c:pt>
              </c:numCache>
            </c:numRef>
          </c:val>
          <c:extLst>
            <c:ext xmlns:c16="http://schemas.microsoft.com/office/drawing/2014/chart" uri="{C3380CC4-5D6E-409C-BE32-E72D297353CC}">
              <c16:uniqueId val="{00000007-F930-418C-B3F5-F146D73FC978}"/>
            </c:ext>
          </c:extLst>
        </c:ser>
        <c:ser>
          <c:idx val="8"/>
          <c:order val="8"/>
          <c:tx>
            <c:strRef>
              <c:f>'44 DMUS'!$V$14</c:f>
              <c:strCache>
                <c:ptCount val="1"/>
                <c:pt idx="0">
                  <c:v>Croatia</c:v>
                </c:pt>
              </c:strCache>
            </c:strRef>
          </c:tx>
          <c:spPr>
            <a:ln w="28575" cap="rnd">
              <a:solidFill>
                <a:schemeClr val="accent3">
                  <a:lumMod val="6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DMUS'!$W$14:$AE$14</c:f>
              <c:numCache>
                <c:formatCode>General</c:formatCode>
                <c:ptCount val="9"/>
                <c:pt idx="0">
                  <c:v>3.584077343189894E-2</c:v>
                </c:pt>
                <c:pt idx="1">
                  <c:v>0.17999121600199264</c:v>
                </c:pt>
                <c:pt idx="2">
                  <c:v>0.13762985606079747</c:v>
                </c:pt>
                <c:pt idx="3">
                  <c:v>1.8847139894629168E-2</c:v>
                </c:pt>
                <c:pt idx="4">
                  <c:v>0.2650686784887768</c:v>
                </c:pt>
                <c:pt idx="5">
                  <c:v>7.2373693491415619E-2</c:v>
                </c:pt>
                <c:pt idx="6">
                  <c:v>1.4531113970424782E-2</c:v>
                </c:pt>
                <c:pt idx="7">
                  <c:v>8.8265631670849304E-2</c:v>
                </c:pt>
                <c:pt idx="8">
                  <c:v>5.5799999069569332E-2</c:v>
                </c:pt>
              </c:numCache>
            </c:numRef>
          </c:val>
          <c:extLst>
            <c:ext xmlns:c16="http://schemas.microsoft.com/office/drawing/2014/chart" uri="{C3380CC4-5D6E-409C-BE32-E72D297353CC}">
              <c16:uniqueId val="{00000008-F930-418C-B3F5-F146D73FC978}"/>
            </c:ext>
          </c:extLst>
        </c:ser>
        <c:ser>
          <c:idx val="9"/>
          <c:order val="9"/>
          <c:tx>
            <c:strRef>
              <c:f>'44 DMUS'!$V$15</c:f>
              <c:strCache>
                <c:ptCount val="1"/>
                <c:pt idx="0">
                  <c:v>Cyprus</c:v>
                </c:pt>
              </c:strCache>
            </c:strRef>
          </c:tx>
          <c:spPr>
            <a:ln w="28575" cap="rnd">
              <a:solidFill>
                <a:schemeClr val="accent4">
                  <a:lumMod val="6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DMUS'!$W$15:$AE$15</c:f>
              <c:numCache>
                <c:formatCode>General</c:formatCode>
                <c:ptCount val="9"/>
                <c:pt idx="0">
                  <c:v>8.2140755716395286E-2</c:v>
                </c:pt>
                <c:pt idx="1">
                  <c:v>7.4248917764338521E-2</c:v>
                </c:pt>
                <c:pt idx="2">
                  <c:v>0.14158954519568198</c:v>
                </c:pt>
                <c:pt idx="3">
                  <c:v>0.14497419576822207</c:v>
                </c:pt>
                <c:pt idx="4">
                  <c:v>0.36699585793235401</c:v>
                </c:pt>
                <c:pt idx="5">
                  <c:v>0.24989824192517349</c:v>
                </c:pt>
                <c:pt idx="6">
                  <c:v>0.12464180597819567</c:v>
                </c:pt>
                <c:pt idx="7">
                  <c:v>0.13627429792271578</c:v>
                </c:pt>
                <c:pt idx="8">
                  <c:v>0.21485042920415479</c:v>
                </c:pt>
              </c:numCache>
            </c:numRef>
          </c:val>
          <c:extLst>
            <c:ext xmlns:c16="http://schemas.microsoft.com/office/drawing/2014/chart" uri="{C3380CC4-5D6E-409C-BE32-E72D297353CC}">
              <c16:uniqueId val="{00000009-F930-418C-B3F5-F146D73FC978}"/>
            </c:ext>
          </c:extLst>
        </c:ser>
        <c:ser>
          <c:idx val="10"/>
          <c:order val="10"/>
          <c:tx>
            <c:strRef>
              <c:f>'44 DMUS'!$V$16</c:f>
              <c:strCache>
                <c:ptCount val="1"/>
                <c:pt idx="0">
                  <c:v>Czechia</c:v>
                </c:pt>
              </c:strCache>
            </c:strRef>
          </c:tx>
          <c:spPr>
            <a:ln w="28575" cap="rnd">
              <a:solidFill>
                <a:schemeClr val="accent5">
                  <a:lumMod val="6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DMUS'!$W$16:$AE$16</c:f>
              <c:numCache>
                <c:formatCode>General</c:formatCode>
                <c:ptCount val="9"/>
                <c:pt idx="0">
                  <c:v>2.4504237546146387E-2</c:v>
                </c:pt>
                <c:pt idx="1">
                  <c:v>0.36004603652812717</c:v>
                </c:pt>
                <c:pt idx="2">
                  <c:v>5.0715308449908868E-2</c:v>
                </c:pt>
                <c:pt idx="3">
                  <c:v>7.7002162088366634E-3</c:v>
                </c:pt>
                <c:pt idx="4">
                  <c:v>0.31685369854222079</c:v>
                </c:pt>
                <c:pt idx="5">
                  <c:v>1.5936788052544545E-2</c:v>
                </c:pt>
                <c:pt idx="6">
                  <c:v>7.508169762725613E-3</c:v>
                </c:pt>
                <c:pt idx="7">
                  <c:v>0.1334349848713445</c:v>
                </c:pt>
                <c:pt idx="8">
                  <c:v>1.5539318238073115E-2</c:v>
                </c:pt>
              </c:numCache>
            </c:numRef>
          </c:val>
          <c:extLst>
            <c:ext xmlns:c16="http://schemas.microsoft.com/office/drawing/2014/chart" uri="{C3380CC4-5D6E-409C-BE32-E72D297353CC}">
              <c16:uniqueId val="{0000000A-F930-418C-B3F5-F146D73FC978}"/>
            </c:ext>
          </c:extLst>
        </c:ser>
        <c:ser>
          <c:idx val="11"/>
          <c:order val="11"/>
          <c:tx>
            <c:strRef>
              <c:f>'44 DMUS'!$V$17</c:f>
              <c:strCache>
                <c:ptCount val="1"/>
                <c:pt idx="0">
                  <c:v>Denmark</c:v>
                </c:pt>
              </c:strCache>
            </c:strRef>
          </c:tx>
          <c:spPr>
            <a:ln w="28575" cap="rnd">
              <a:solidFill>
                <a:schemeClr val="accent6">
                  <a:lumMod val="6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DMUS'!$W$17:$AE$17</c:f>
              <c:numCache>
                <c:formatCode>General</c:formatCode>
                <c:ptCount val="9"/>
                <c:pt idx="0">
                  <c:v>1.5103272839573429E-2</c:v>
                </c:pt>
                <c:pt idx="1">
                  <c:v>0.30480303165924405</c:v>
                </c:pt>
                <c:pt idx="2">
                  <c:v>5.9526682138459269E-2</c:v>
                </c:pt>
                <c:pt idx="3">
                  <c:v>1.0371646967653969E-2</c:v>
                </c:pt>
                <c:pt idx="4">
                  <c:v>0.5861853506910375</c:v>
                </c:pt>
                <c:pt idx="5">
                  <c:v>4.0877877189517173E-2</c:v>
                </c:pt>
                <c:pt idx="6">
                  <c:v>1.4107565827856673E-2</c:v>
                </c:pt>
                <c:pt idx="7">
                  <c:v>0.34436506452699256</c:v>
                </c:pt>
                <c:pt idx="8">
                  <c:v>5.5602292013280798E-2</c:v>
                </c:pt>
              </c:numCache>
            </c:numRef>
          </c:val>
          <c:extLst>
            <c:ext xmlns:c16="http://schemas.microsoft.com/office/drawing/2014/chart" uri="{C3380CC4-5D6E-409C-BE32-E72D297353CC}">
              <c16:uniqueId val="{0000000B-F930-418C-B3F5-F146D73FC978}"/>
            </c:ext>
          </c:extLst>
        </c:ser>
        <c:ser>
          <c:idx val="12"/>
          <c:order val="12"/>
          <c:tx>
            <c:strRef>
              <c:f>'44 DMUS'!$V$18</c:f>
              <c:strCache>
                <c:ptCount val="1"/>
                <c:pt idx="0">
                  <c:v>Estonia</c:v>
                </c:pt>
              </c:strCache>
            </c:strRef>
          </c:tx>
          <c:spPr>
            <a:ln w="28575" cap="rnd">
              <a:solidFill>
                <a:schemeClr val="accent1">
                  <a:lumMod val="80000"/>
                  <a:lumOff val="2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DMUS'!$W$18:$AE$18</c:f>
              <c:numCache>
                <c:formatCode>General</c:formatCode>
                <c:ptCount val="9"/>
                <c:pt idx="0">
                  <c:v>5.1743584138674067E-2</c:v>
                </c:pt>
                <c:pt idx="1">
                  <c:v>0.54367222823723349</c:v>
                </c:pt>
                <c:pt idx="2">
                  <c:v>0.16599586593376961</c:v>
                </c:pt>
                <c:pt idx="3">
                  <c:v>2.9057871193686462E-2</c:v>
                </c:pt>
                <c:pt idx="4">
                  <c:v>0.85503414109688836</c:v>
                </c:pt>
                <c:pt idx="5">
                  <c:v>9.3219025532921398E-2</c:v>
                </c:pt>
                <c:pt idx="6">
                  <c:v>2.3463314555692321E-2</c:v>
                </c:pt>
                <c:pt idx="7">
                  <c:v>0.29818705833320458</c:v>
                </c:pt>
                <c:pt idx="8">
                  <c:v>7.5271423156741013E-2</c:v>
                </c:pt>
              </c:numCache>
            </c:numRef>
          </c:val>
          <c:extLst>
            <c:ext xmlns:c16="http://schemas.microsoft.com/office/drawing/2014/chart" uri="{C3380CC4-5D6E-409C-BE32-E72D297353CC}">
              <c16:uniqueId val="{0000000C-F930-418C-B3F5-F146D73FC978}"/>
            </c:ext>
          </c:extLst>
        </c:ser>
        <c:ser>
          <c:idx val="13"/>
          <c:order val="13"/>
          <c:tx>
            <c:strRef>
              <c:f>'44 DMUS'!$V$19</c:f>
              <c:strCache>
                <c:ptCount val="1"/>
                <c:pt idx="0">
                  <c:v>Finland</c:v>
                </c:pt>
              </c:strCache>
            </c:strRef>
          </c:tx>
          <c:spPr>
            <a:ln w="28575" cap="rnd">
              <a:solidFill>
                <a:schemeClr val="accent2">
                  <a:lumMod val="80000"/>
                  <a:lumOff val="2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DMUS'!$W$19:$AE$19</c:f>
              <c:numCache>
                <c:formatCode>General</c:formatCode>
                <c:ptCount val="9"/>
                <c:pt idx="0">
                  <c:v>1.3180067860729328E-2</c:v>
                </c:pt>
                <c:pt idx="1">
                  <c:v>0.66430534487934789</c:v>
                </c:pt>
                <c:pt idx="2">
                  <c:v>4.2265602634988214E-2</c:v>
                </c:pt>
                <c:pt idx="3">
                  <c:v>7.0213790796654395E-3</c:v>
                </c:pt>
                <c:pt idx="4">
                  <c:v>0.99108645797787953</c:v>
                </c:pt>
                <c:pt idx="5">
                  <c:v>2.2516031121127864E-2</c:v>
                </c:pt>
                <c:pt idx="6">
                  <c:v>8.5585114941079034E-3</c:v>
                </c:pt>
                <c:pt idx="7">
                  <c:v>0.52175560736228876</c:v>
                </c:pt>
                <c:pt idx="8">
                  <c:v>2.7445279476499392E-2</c:v>
                </c:pt>
              </c:numCache>
            </c:numRef>
          </c:val>
          <c:extLst>
            <c:ext xmlns:c16="http://schemas.microsoft.com/office/drawing/2014/chart" uri="{C3380CC4-5D6E-409C-BE32-E72D297353CC}">
              <c16:uniqueId val="{0000000D-F930-418C-B3F5-F146D73FC978}"/>
            </c:ext>
          </c:extLst>
        </c:ser>
        <c:ser>
          <c:idx val="14"/>
          <c:order val="14"/>
          <c:tx>
            <c:strRef>
              <c:f>'44 DMUS'!$V$20</c:f>
              <c:strCache>
                <c:ptCount val="1"/>
                <c:pt idx="0">
                  <c:v>France</c:v>
                </c:pt>
              </c:strCache>
            </c:strRef>
          </c:tx>
          <c:spPr>
            <a:ln w="28575" cap="rnd">
              <a:solidFill>
                <a:schemeClr val="accent3">
                  <a:lumMod val="80000"/>
                  <a:lumOff val="2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DMUS'!$W$20:$AE$20</c:f>
              <c:numCache>
                <c:formatCode>General</c:formatCode>
                <c:ptCount val="9"/>
                <c:pt idx="0">
                  <c:v>1.7424643770944876E-3</c:v>
                </c:pt>
                <c:pt idx="1">
                  <c:v>0.22527271521872147</c:v>
                </c:pt>
                <c:pt idx="2">
                  <c:v>6.5581887495957869E-3</c:v>
                </c:pt>
                <c:pt idx="3">
                  <c:v>1.358035567583683E-3</c:v>
                </c:pt>
                <c:pt idx="4">
                  <c:v>0.49169393427136149</c:v>
                </c:pt>
                <c:pt idx="5">
                  <c:v>5.1112973659347798E-3</c:v>
                </c:pt>
                <c:pt idx="6">
                  <c:v>1.5964512974952312E-3</c:v>
                </c:pt>
                <c:pt idx="7">
                  <c:v>0.24964285817289134</c:v>
                </c:pt>
                <c:pt idx="8">
                  <c:v>6.0086329890823827E-3</c:v>
                </c:pt>
              </c:numCache>
            </c:numRef>
          </c:val>
          <c:extLst>
            <c:ext xmlns:c16="http://schemas.microsoft.com/office/drawing/2014/chart" uri="{C3380CC4-5D6E-409C-BE32-E72D297353CC}">
              <c16:uniqueId val="{0000000E-F930-418C-B3F5-F146D73FC978}"/>
            </c:ext>
          </c:extLst>
        </c:ser>
        <c:ser>
          <c:idx val="15"/>
          <c:order val="15"/>
          <c:tx>
            <c:strRef>
              <c:f>'44 DMUS'!$V$21</c:f>
              <c:strCache>
                <c:ptCount val="1"/>
                <c:pt idx="0">
                  <c:v>Georgia</c:v>
                </c:pt>
              </c:strCache>
            </c:strRef>
          </c:tx>
          <c:spPr>
            <a:ln w="28575" cap="rnd">
              <a:solidFill>
                <a:schemeClr val="accent4">
                  <a:lumMod val="80000"/>
                  <a:lumOff val="2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DMUS'!$W$21:$AE$21</c:f>
              <c:numCache>
                <c:formatCode>General</c:formatCode>
                <c:ptCount val="9"/>
                <c:pt idx="0">
                  <c:v>3.2186401772604088E-2</c:v>
                </c:pt>
                <c:pt idx="1">
                  <c:v>0.10350068328523435</c:v>
                </c:pt>
                <c:pt idx="2">
                  <c:v>0.24487590542818069</c:v>
                </c:pt>
                <c:pt idx="3">
                  <c:v>2.2181334854011935E-2</c:v>
                </c:pt>
                <c:pt idx="4">
                  <c:v>0.19975492124511385</c:v>
                </c:pt>
                <c:pt idx="5">
                  <c:v>0.16875680898897752</c:v>
                </c:pt>
                <c:pt idx="6">
                  <c:v>9.952139292440312E-3</c:v>
                </c:pt>
                <c:pt idx="7">
                  <c:v>3.8708471384748838E-2</c:v>
                </c:pt>
                <c:pt idx="8">
                  <c:v>7.5716420164058704E-2</c:v>
                </c:pt>
              </c:numCache>
            </c:numRef>
          </c:val>
          <c:extLst>
            <c:ext xmlns:c16="http://schemas.microsoft.com/office/drawing/2014/chart" uri="{C3380CC4-5D6E-409C-BE32-E72D297353CC}">
              <c16:uniqueId val="{0000000F-F930-418C-B3F5-F146D73FC978}"/>
            </c:ext>
          </c:extLst>
        </c:ser>
        <c:ser>
          <c:idx val="16"/>
          <c:order val="16"/>
          <c:tx>
            <c:strRef>
              <c:f>'44 DMUS'!$V$22</c:f>
              <c:strCache>
                <c:ptCount val="1"/>
                <c:pt idx="0">
                  <c:v>Germany</c:v>
                </c:pt>
              </c:strCache>
            </c:strRef>
          </c:tx>
          <c:spPr>
            <a:ln w="28575" cap="rnd">
              <a:solidFill>
                <a:schemeClr val="accent5">
                  <a:lumMod val="80000"/>
                  <a:lumOff val="2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DMUS'!$W$22:$AE$22</c:f>
              <c:numCache>
                <c:formatCode>General</c:formatCode>
                <c:ptCount val="9"/>
                <c:pt idx="0">
                  <c:v>3.3762821282680815E-3</c:v>
                </c:pt>
                <c:pt idx="1">
                  <c:v>0.42431423714051747</c:v>
                </c:pt>
                <c:pt idx="2">
                  <c:v>5.7795600357503935E-3</c:v>
                </c:pt>
                <c:pt idx="3">
                  <c:v>1.4250182612185857E-3</c:v>
                </c:pt>
                <c:pt idx="4">
                  <c:v>0.50154317464362852</c:v>
                </c:pt>
                <c:pt idx="5">
                  <c:v>2.4393632640463707E-3</c:v>
                </c:pt>
                <c:pt idx="6">
                  <c:v>1.8987548517682981E-3</c:v>
                </c:pt>
                <c:pt idx="7">
                  <c:v>0.28862673544538608</c:v>
                </c:pt>
                <c:pt idx="8">
                  <c:v>3.250311212764821E-3</c:v>
                </c:pt>
              </c:numCache>
            </c:numRef>
          </c:val>
          <c:extLst>
            <c:ext xmlns:c16="http://schemas.microsoft.com/office/drawing/2014/chart" uri="{C3380CC4-5D6E-409C-BE32-E72D297353CC}">
              <c16:uniqueId val="{00000010-F930-418C-B3F5-F146D73FC978}"/>
            </c:ext>
          </c:extLst>
        </c:ser>
        <c:ser>
          <c:idx val="17"/>
          <c:order val="17"/>
          <c:tx>
            <c:strRef>
              <c:f>'44 DMUS'!$V$23</c:f>
              <c:strCache>
                <c:ptCount val="1"/>
                <c:pt idx="0">
                  <c:v>Greece</c:v>
                </c:pt>
              </c:strCache>
            </c:strRef>
          </c:tx>
          <c:spPr>
            <a:ln w="28575" cap="rnd">
              <a:solidFill>
                <a:schemeClr val="accent6">
                  <a:lumMod val="80000"/>
                  <a:lumOff val="2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DMUS'!$W$23:$AE$23</c:f>
              <c:numCache>
                <c:formatCode>General</c:formatCode>
                <c:ptCount val="9"/>
                <c:pt idx="0">
                  <c:v>1.1942931629287197E-2</c:v>
                </c:pt>
                <c:pt idx="1">
                  <c:v>0.13290320197484487</c:v>
                </c:pt>
                <c:pt idx="2">
                  <c:v>2.4957624677036504E-2</c:v>
                </c:pt>
                <c:pt idx="3">
                  <c:v>1.0230505854334033E-2</c:v>
                </c:pt>
                <c:pt idx="4">
                  <c:v>0.31883106306901493</c:v>
                </c:pt>
                <c:pt idx="5">
                  <c:v>2.1379099646066772E-2</c:v>
                </c:pt>
                <c:pt idx="6">
                  <c:v>8.4269552081541674E-3</c:v>
                </c:pt>
                <c:pt idx="7">
                  <c:v>0.11342635349063007</c:v>
                </c:pt>
                <c:pt idx="8">
                  <c:v>1.7610147305838871E-2</c:v>
                </c:pt>
              </c:numCache>
            </c:numRef>
          </c:val>
          <c:extLst>
            <c:ext xmlns:c16="http://schemas.microsoft.com/office/drawing/2014/chart" uri="{C3380CC4-5D6E-409C-BE32-E72D297353CC}">
              <c16:uniqueId val="{00000011-F930-418C-B3F5-F146D73FC978}"/>
            </c:ext>
          </c:extLst>
        </c:ser>
        <c:ser>
          <c:idx val="18"/>
          <c:order val="18"/>
          <c:tx>
            <c:strRef>
              <c:f>'44 DMUS'!$V$24</c:f>
              <c:strCache>
                <c:ptCount val="1"/>
                <c:pt idx="0">
                  <c:v>Hungary</c:v>
                </c:pt>
              </c:strCache>
            </c:strRef>
          </c:tx>
          <c:spPr>
            <a:ln w="28575" cap="rnd">
              <a:solidFill>
                <a:schemeClr val="accent1">
                  <a:lumMod val="8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DMUS'!$W$24:$AE$24</c:f>
              <c:numCache>
                <c:formatCode>General</c:formatCode>
                <c:ptCount val="9"/>
                <c:pt idx="0">
                  <c:v>1.9143144679307098E-2</c:v>
                </c:pt>
                <c:pt idx="1">
                  <c:v>0.3106473284958966</c:v>
                </c:pt>
                <c:pt idx="2">
                  <c:v>8.9609321121513763E-2</c:v>
                </c:pt>
                <c:pt idx="3">
                  <c:v>5.8357023635713275E-3</c:v>
                </c:pt>
                <c:pt idx="4">
                  <c:v>0.26520792390679082</c:v>
                </c:pt>
                <c:pt idx="5">
                  <c:v>2.7317002291274962E-2</c:v>
                </c:pt>
                <c:pt idx="6">
                  <c:v>5.6104269940713374E-3</c:v>
                </c:pt>
                <c:pt idx="7">
                  <c:v>0.11012072030419738</c:v>
                </c:pt>
                <c:pt idx="8">
                  <c:v>2.6262485216652771E-2</c:v>
                </c:pt>
              </c:numCache>
            </c:numRef>
          </c:val>
          <c:extLst>
            <c:ext xmlns:c16="http://schemas.microsoft.com/office/drawing/2014/chart" uri="{C3380CC4-5D6E-409C-BE32-E72D297353CC}">
              <c16:uniqueId val="{00000012-F930-418C-B3F5-F146D73FC978}"/>
            </c:ext>
          </c:extLst>
        </c:ser>
        <c:ser>
          <c:idx val="19"/>
          <c:order val="19"/>
          <c:tx>
            <c:strRef>
              <c:f>'44 DMUS'!$V$25</c:f>
              <c:strCache>
                <c:ptCount val="1"/>
                <c:pt idx="0">
                  <c:v>Iceland</c:v>
                </c:pt>
              </c:strCache>
            </c:strRef>
          </c:tx>
          <c:spPr>
            <a:ln w="28575" cap="rnd">
              <a:solidFill>
                <a:schemeClr val="accent2">
                  <a:lumMod val="8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DMUS'!$W$25:$AE$25</c:f>
              <c:numCache>
                <c:formatCode>General</c:formatCode>
                <c:ptCount val="9"/>
                <c:pt idx="0">
                  <c:v>0.19256092372849382</c:v>
                </c:pt>
                <c:pt idx="1">
                  <c:v>0.43996425126116423</c:v>
                </c:pt>
                <c:pt idx="2">
                  <c:v>0.56698571053447877</c:v>
                </c:pt>
                <c:pt idx="3">
                  <c:v>0.15044920311390061</c:v>
                </c:pt>
                <c:pt idx="4">
                  <c:v>0.96267156002130838</c:v>
                </c:pt>
                <c:pt idx="5">
                  <c:v>0.44298992067131737</c:v>
                </c:pt>
                <c:pt idx="6">
                  <c:v>0.18388145869077369</c:v>
                </c:pt>
                <c:pt idx="7">
                  <c:v>0.50816641165633081</c:v>
                </c:pt>
                <c:pt idx="8">
                  <c:v>0.54142947328662683</c:v>
                </c:pt>
              </c:numCache>
            </c:numRef>
          </c:val>
          <c:extLst>
            <c:ext xmlns:c16="http://schemas.microsoft.com/office/drawing/2014/chart" uri="{C3380CC4-5D6E-409C-BE32-E72D297353CC}">
              <c16:uniqueId val="{00000013-F930-418C-B3F5-F146D73FC978}"/>
            </c:ext>
          </c:extLst>
        </c:ser>
        <c:ser>
          <c:idx val="20"/>
          <c:order val="20"/>
          <c:tx>
            <c:strRef>
              <c:f>'44 DMUS'!$V$26</c:f>
              <c:strCache>
                <c:ptCount val="1"/>
                <c:pt idx="0">
                  <c:v>Ireland</c:v>
                </c:pt>
              </c:strCache>
            </c:strRef>
          </c:tx>
          <c:spPr>
            <a:ln w="28575" cap="rnd">
              <a:solidFill>
                <a:schemeClr val="accent3">
                  <a:lumMod val="8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DMUS'!$W$26:$AE$26</c:f>
              <c:numCache>
                <c:formatCode>General</c:formatCode>
                <c:ptCount val="9"/>
                <c:pt idx="0">
                  <c:v>2.5731230462244216E-2</c:v>
                </c:pt>
                <c:pt idx="1">
                  <c:v>1</c:v>
                </c:pt>
                <c:pt idx="2">
                  <c:v>0.1394429816096279</c:v>
                </c:pt>
                <c:pt idx="3">
                  <c:v>6.1551587203766116E-3</c:v>
                </c:pt>
                <c:pt idx="4">
                  <c:v>0.66991194638023011</c:v>
                </c:pt>
                <c:pt idx="5">
                  <c:v>3.3356107299617979E-2</c:v>
                </c:pt>
                <c:pt idx="6">
                  <c:v>1.01519779975977E-2</c:v>
                </c:pt>
                <c:pt idx="7">
                  <c:v>0.47720930115002769</c:v>
                </c:pt>
                <c:pt idx="8">
                  <c:v>5.5015716535496612E-2</c:v>
                </c:pt>
              </c:numCache>
            </c:numRef>
          </c:val>
          <c:extLst>
            <c:ext xmlns:c16="http://schemas.microsoft.com/office/drawing/2014/chart" uri="{C3380CC4-5D6E-409C-BE32-E72D297353CC}">
              <c16:uniqueId val="{00000014-F930-418C-B3F5-F146D73FC978}"/>
            </c:ext>
          </c:extLst>
        </c:ser>
        <c:ser>
          <c:idx val="21"/>
          <c:order val="21"/>
          <c:tx>
            <c:strRef>
              <c:f>'44 DMUS'!$V$27</c:f>
              <c:strCache>
                <c:ptCount val="1"/>
                <c:pt idx="0">
                  <c:v>Israel</c:v>
                </c:pt>
              </c:strCache>
            </c:strRef>
          </c:tx>
          <c:spPr>
            <a:ln w="28575" cap="rnd">
              <a:solidFill>
                <a:schemeClr val="accent4">
                  <a:lumMod val="8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DMUS'!$W$27:$AE$27</c:f>
              <c:numCache>
                <c:formatCode>General</c:formatCode>
                <c:ptCount val="9"/>
                <c:pt idx="0">
                  <c:v>3.2097005677642891E-2</c:v>
                </c:pt>
                <c:pt idx="1">
                  <c:v>0.15559741696912147</c:v>
                </c:pt>
                <c:pt idx="2">
                  <c:v>4.207176876089011E-2</c:v>
                </c:pt>
                <c:pt idx="3">
                  <c:v>2.0317672724740801E-2</c:v>
                </c:pt>
                <c:pt idx="4">
                  <c:v>0.27583593580540333</c:v>
                </c:pt>
                <c:pt idx="5">
                  <c:v>2.6631781083247544E-2</c:v>
                </c:pt>
                <c:pt idx="6">
                  <c:v>2.0098425629539968E-2</c:v>
                </c:pt>
                <c:pt idx="7">
                  <c:v>0.11784704299571376</c:v>
                </c:pt>
                <c:pt idx="8">
                  <c:v>2.6344398727914276E-2</c:v>
                </c:pt>
              </c:numCache>
            </c:numRef>
          </c:val>
          <c:extLst>
            <c:ext xmlns:c16="http://schemas.microsoft.com/office/drawing/2014/chart" uri="{C3380CC4-5D6E-409C-BE32-E72D297353CC}">
              <c16:uniqueId val="{00000015-F930-418C-B3F5-F146D73FC978}"/>
            </c:ext>
          </c:extLst>
        </c:ser>
        <c:ser>
          <c:idx val="22"/>
          <c:order val="22"/>
          <c:tx>
            <c:strRef>
              <c:f>'44 DMUS'!$V$28</c:f>
              <c:strCache>
                <c:ptCount val="1"/>
                <c:pt idx="0">
                  <c:v>Italy</c:v>
                </c:pt>
              </c:strCache>
            </c:strRef>
          </c:tx>
          <c:spPr>
            <a:ln w="28575" cap="rnd">
              <a:solidFill>
                <a:schemeClr val="accent5">
                  <a:lumMod val="8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DMUS'!$W$28:$AE$28</c:f>
              <c:numCache>
                <c:formatCode>General</c:formatCode>
                <c:ptCount val="9"/>
                <c:pt idx="0">
                  <c:v>5.7622695466821401E-3</c:v>
                </c:pt>
                <c:pt idx="1">
                  <c:v>0.21974230295350741</c:v>
                </c:pt>
                <c:pt idx="2">
                  <c:v>9.1948008698565075E-3</c:v>
                </c:pt>
                <c:pt idx="3">
                  <c:v>3.1059333777115963E-3</c:v>
                </c:pt>
                <c:pt idx="4">
                  <c:v>0.33170441996713101</c:v>
                </c:pt>
                <c:pt idx="5">
                  <c:v>4.9561095140963378E-3</c:v>
                </c:pt>
                <c:pt idx="6">
                  <c:v>3.4673639890167554E-3</c:v>
                </c:pt>
                <c:pt idx="7">
                  <c:v>0.15993308806135059</c:v>
                </c:pt>
                <c:pt idx="8">
                  <c:v>5.5328410384199367E-3</c:v>
                </c:pt>
              </c:numCache>
            </c:numRef>
          </c:val>
          <c:extLst>
            <c:ext xmlns:c16="http://schemas.microsoft.com/office/drawing/2014/chart" uri="{C3380CC4-5D6E-409C-BE32-E72D297353CC}">
              <c16:uniqueId val="{00000016-F930-418C-B3F5-F146D73FC978}"/>
            </c:ext>
          </c:extLst>
        </c:ser>
        <c:ser>
          <c:idx val="23"/>
          <c:order val="23"/>
          <c:tx>
            <c:strRef>
              <c:f>'44 DMUS'!$V$29</c:f>
              <c:strCache>
                <c:ptCount val="1"/>
                <c:pt idx="0">
                  <c:v>Kazakhstan</c:v>
                </c:pt>
              </c:strCache>
            </c:strRef>
          </c:tx>
          <c:spPr>
            <a:ln w="28575" cap="rnd">
              <a:solidFill>
                <a:schemeClr val="accent6">
                  <a:lumMod val="8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DMUS'!$W$29:$AE$29</c:f>
              <c:numCache>
                <c:formatCode>General</c:formatCode>
                <c:ptCount val="9"/>
                <c:pt idx="0">
                  <c:v>6.12564059578083E-3</c:v>
                </c:pt>
                <c:pt idx="1">
                  <c:v>8.7907075569055346E-2</c:v>
                </c:pt>
                <c:pt idx="2">
                  <c:v>7.0717693105106739E-3</c:v>
                </c:pt>
                <c:pt idx="3">
                  <c:v>2.4354572468342456E-3</c:v>
                </c:pt>
                <c:pt idx="4">
                  <c:v>9.787952456077427E-2</c:v>
                </c:pt>
                <c:pt idx="5">
                  <c:v>2.8116229716588265E-3</c:v>
                </c:pt>
                <c:pt idx="6">
                  <c:v>3.652398014003579E-3</c:v>
                </c:pt>
                <c:pt idx="7">
                  <c:v>6.3397072631129717E-2</c:v>
                </c:pt>
                <c:pt idx="8">
                  <c:v>4.2165249138173214E-3</c:v>
                </c:pt>
              </c:numCache>
            </c:numRef>
          </c:val>
          <c:extLst>
            <c:ext xmlns:c16="http://schemas.microsoft.com/office/drawing/2014/chart" uri="{C3380CC4-5D6E-409C-BE32-E72D297353CC}">
              <c16:uniqueId val="{00000017-F930-418C-B3F5-F146D73FC978}"/>
            </c:ext>
          </c:extLst>
        </c:ser>
        <c:ser>
          <c:idx val="24"/>
          <c:order val="24"/>
          <c:tx>
            <c:strRef>
              <c:f>'44 DMUS'!$V$30</c:f>
              <c:strCache>
                <c:ptCount val="1"/>
                <c:pt idx="0">
                  <c:v>Kyrgyzstan</c:v>
                </c:pt>
              </c:strCache>
            </c:strRef>
          </c:tx>
          <c:spPr>
            <a:ln w="28575" cap="rnd">
              <a:solidFill>
                <a:schemeClr val="accent1">
                  <a:lumMod val="60000"/>
                  <a:lumOff val="4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DMUS'!$W$30:$AE$30</c:f>
              <c:numCache>
                <c:formatCode>General</c:formatCode>
                <c:ptCount val="9"/>
                <c:pt idx="0">
                  <c:v>5.4475495756358586E-2</c:v>
                </c:pt>
                <c:pt idx="1">
                  <c:v>8.3097765788162692E-2</c:v>
                </c:pt>
                <c:pt idx="2">
                  <c:v>0.17611339602732048</c:v>
                </c:pt>
                <c:pt idx="3">
                  <c:v>1.7845755885920602E-2</c:v>
                </c:pt>
                <c:pt idx="4">
                  <c:v>7.623635517007829E-2</c:v>
                </c:pt>
                <c:pt idx="5">
                  <c:v>5.7693401961875175E-2</c:v>
                </c:pt>
                <c:pt idx="6">
                  <c:v>4.7693097145782484E-3</c:v>
                </c:pt>
                <c:pt idx="7">
                  <c:v>8.7995906295992472E-3</c:v>
                </c:pt>
                <c:pt idx="8">
                  <c:v>1.5418663361910296E-2</c:v>
                </c:pt>
              </c:numCache>
            </c:numRef>
          </c:val>
          <c:extLst>
            <c:ext xmlns:c16="http://schemas.microsoft.com/office/drawing/2014/chart" uri="{C3380CC4-5D6E-409C-BE32-E72D297353CC}">
              <c16:uniqueId val="{00000018-F930-418C-B3F5-F146D73FC978}"/>
            </c:ext>
          </c:extLst>
        </c:ser>
        <c:ser>
          <c:idx val="25"/>
          <c:order val="25"/>
          <c:tx>
            <c:strRef>
              <c:f>'44 DMUS'!$V$31</c:f>
              <c:strCache>
                <c:ptCount val="1"/>
                <c:pt idx="0">
                  <c:v>Latvia</c:v>
                </c:pt>
              </c:strCache>
            </c:strRef>
          </c:tx>
          <c:spPr>
            <a:ln w="28575" cap="rnd">
              <a:solidFill>
                <a:schemeClr val="accent2">
                  <a:lumMod val="60000"/>
                  <a:lumOff val="4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DMUS'!$W$31:$AE$31</c:f>
              <c:numCache>
                <c:formatCode>General</c:formatCode>
                <c:ptCount val="9"/>
                <c:pt idx="0">
                  <c:v>3.1374356288524474E-2</c:v>
                </c:pt>
                <c:pt idx="1">
                  <c:v>0.20600865193232698</c:v>
                </c:pt>
                <c:pt idx="2">
                  <c:v>0.17104057082934232</c:v>
                </c:pt>
                <c:pt idx="3">
                  <c:v>2.0646274784098532E-2</c:v>
                </c:pt>
                <c:pt idx="4">
                  <c:v>0.37965695479831529</c:v>
                </c:pt>
                <c:pt idx="5">
                  <c:v>0.11255531721819903</c:v>
                </c:pt>
                <c:pt idx="6">
                  <c:v>1.7129291109697627E-2</c:v>
                </c:pt>
                <c:pt idx="7">
                  <c:v>0.13604068587126927</c:v>
                </c:pt>
                <c:pt idx="8">
                  <c:v>9.3382114436440872E-2</c:v>
                </c:pt>
              </c:numCache>
            </c:numRef>
          </c:val>
          <c:extLst>
            <c:ext xmlns:c16="http://schemas.microsoft.com/office/drawing/2014/chart" uri="{C3380CC4-5D6E-409C-BE32-E72D297353CC}">
              <c16:uniqueId val="{00000019-F930-418C-B3F5-F146D73FC978}"/>
            </c:ext>
          </c:extLst>
        </c:ser>
        <c:ser>
          <c:idx val="26"/>
          <c:order val="26"/>
          <c:tx>
            <c:strRef>
              <c:f>'44 DMUS'!$V$32</c:f>
              <c:strCache>
                <c:ptCount val="1"/>
                <c:pt idx="0">
                  <c:v>Lithuania</c:v>
                </c:pt>
              </c:strCache>
            </c:strRef>
          </c:tx>
          <c:spPr>
            <a:ln w="28575" cap="rnd">
              <a:solidFill>
                <a:schemeClr val="accent3">
                  <a:lumMod val="60000"/>
                  <a:lumOff val="4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DMUS'!$W$32:$AE$32</c:f>
              <c:numCache>
                <c:formatCode>General</c:formatCode>
                <c:ptCount val="9"/>
                <c:pt idx="0">
                  <c:v>1.8024818965898935E-2</c:v>
                </c:pt>
                <c:pt idx="1">
                  <c:v>0.39671264338115697</c:v>
                </c:pt>
                <c:pt idx="2">
                  <c:v>0.17236656680028234</c:v>
                </c:pt>
                <c:pt idx="3">
                  <c:v>7.6462819527791893E-3</c:v>
                </c:pt>
                <c:pt idx="4">
                  <c:v>0.47129676569650908</c:v>
                </c:pt>
                <c:pt idx="5">
                  <c:v>7.3119367882748559E-2</c:v>
                </c:pt>
                <c:pt idx="6">
                  <c:v>6.469910384996844E-3</c:v>
                </c:pt>
                <c:pt idx="7">
                  <c:v>0.1722353064486746</c:v>
                </c:pt>
                <c:pt idx="8">
                  <c:v>6.1870038344198255E-2</c:v>
                </c:pt>
              </c:numCache>
            </c:numRef>
          </c:val>
          <c:extLst>
            <c:ext xmlns:c16="http://schemas.microsoft.com/office/drawing/2014/chart" uri="{C3380CC4-5D6E-409C-BE32-E72D297353CC}">
              <c16:uniqueId val="{0000001A-F930-418C-B3F5-F146D73FC978}"/>
            </c:ext>
          </c:extLst>
        </c:ser>
        <c:ser>
          <c:idx val="27"/>
          <c:order val="27"/>
          <c:tx>
            <c:strRef>
              <c:f>'44 DMUS'!$V$33</c:f>
              <c:strCache>
                <c:ptCount val="1"/>
                <c:pt idx="0">
                  <c:v>Malta</c:v>
                </c:pt>
              </c:strCache>
            </c:strRef>
          </c:tx>
          <c:spPr>
            <a:ln w="28575" cap="rnd">
              <a:solidFill>
                <a:schemeClr val="accent4">
                  <a:lumMod val="60000"/>
                  <a:lumOff val="40000"/>
                </a:schemeClr>
              </a:solidFill>
              <a:prstDash val="sysDash"/>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DMUS'!$W$33:$AE$33</c:f>
              <c:numCache>
                <c:formatCode>General</c:formatCode>
                <c:ptCount val="9"/>
                <c:pt idx="0">
                  <c:v>1</c:v>
                </c:pt>
                <c:pt idx="1">
                  <c:v>0.14178874378300002</c:v>
                </c:pt>
                <c:pt idx="2">
                  <c:v>1</c:v>
                </c:pt>
                <c:pt idx="3">
                  <c:v>1</c:v>
                </c:pt>
                <c:pt idx="4">
                  <c:v>0.39708252561384777</c:v>
                </c:pt>
                <c:pt idx="5">
                  <c:v>1</c:v>
                </c:pt>
                <c:pt idx="6">
                  <c:v>1</c:v>
                </c:pt>
                <c:pt idx="7">
                  <c:v>0.17149858507450741</c:v>
                </c:pt>
                <c:pt idx="8">
                  <c:v>1</c:v>
                </c:pt>
              </c:numCache>
            </c:numRef>
          </c:val>
          <c:extLst>
            <c:ext xmlns:c16="http://schemas.microsoft.com/office/drawing/2014/chart" uri="{C3380CC4-5D6E-409C-BE32-E72D297353CC}">
              <c16:uniqueId val="{0000001B-F930-418C-B3F5-F146D73FC978}"/>
            </c:ext>
          </c:extLst>
        </c:ser>
        <c:ser>
          <c:idx val="28"/>
          <c:order val="28"/>
          <c:tx>
            <c:strRef>
              <c:f>'44 DMUS'!$V$34</c:f>
              <c:strCache>
                <c:ptCount val="1"/>
                <c:pt idx="0">
                  <c:v>Netherlands</c:v>
                </c:pt>
              </c:strCache>
            </c:strRef>
          </c:tx>
          <c:spPr>
            <a:ln w="28575" cap="rnd">
              <a:solidFill>
                <a:schemeClr val="accent5">
                  <a:lumMod val="60000"/>
                  <a:lumOff val="4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DMUS'!$W$34:$AE$34</c:f>
              <c:numCache>
                <c:formatCode>General</c:formatCode>
                <c:ptCount val="9"/>
                <c:pt idx="0">
                  <c:v>5.560088091478674E-3</c:v>
                </c:pt>
                <c:pt idx="1">
                  <c:v>0.22625514902768881</c:v>
                </c:pt>
                <c:pt idx="2">
                  <c:v>1.3096068813380634E-2</c:v>
                </c:pt>
                <c:pt idx="3">
                  <c:v>4.2022902971475991E-3</c:v>
                </c:pt>
                <c:pt idx="4">
                  <c:v>0.47889672857010801</c:v>
                </c:pt>
                <c:pt idx="5">
                  <c:v>9.897951615117466E-3</c:v>
                </c:pt>
                <c:pt idx="6">
                  <c:v>5.9591977286472539E-3</c:v>
                </c:pt>
                <c:pt idx="7">
                  <c:v>0.29330764394944153</c:v>
                </c:pt>
                <c:pt idx="8">
                  <c:v>1.4036119975601176E-2</c:v>
                </c:pt>
              </c:numCache>
            </c:numRef>
          </c:val>
          <c:extLst>
            <c:ext xmlns:c16="http://schemas.microsoft.com/office/drawing/2014/chart" uri="{C3380CC4-5D6E-409C-BE32-E72D297353CC}">
              <c16:uniqueId val="{0000001C-F930-418C-B3F5-F146D73FC978}"/>
            </c:ext>
          </c:extLst>
        </c:ser>
        <c:ser>
          <c:idx val="29"/>
          <c:order val="29"/>
          <c:tx>
            <c:strRef>
              <c:f>'44 DMUS'!$V$35</c:f>
              <c:strCache>
                <c:ptCount val="1"/>
                <c:pt idx="0">
                  <c:v>Norway</c:v>
                </c:pt>
              </c:strCache>
            </c:strRef>
          </c:tx>
          <c:spPr>
            <a:ln w="28575" cap="rnd">
              <a:solidFill>
                <a:schemeClr val="accent6">
                  <a:lumMod val="60000"/>
                  <a:lumOff val="4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DMUS'!$W$35:$AE$35</c:f>
              <c:numCache>
                <c:formatCode>General</c:formatCode>
                <c:ptCount val="9"/>
                <c:pt idx="0">
                  <c:v>1.1048129163722798E-2</c:v>
                </c:pt>
                <c:pt idx="1">
                  <c:v>0.26905128943778395</c:v>
                </c:pt>
                <c:pt idx="2">
                  <c:v>2.3572424179033189E-2</c:v>
                </c:pt>
                <c:pt idx="3">
                  <c:v>1.4035899147479021E-2</c:v>
                </c:pt>
                <c:pt idx="4">
                  <c:v>0.95725048391249223</c:v>
                </c:pt>
                <c:pt idx="5">
                  <c:v>2.9947166939802379E-2</c:v>
                </c:pt>
                <c:pt idx="6">
                  <c:v>3.394961695810738E-2</c:v>
                </c:pt>
                <c:pt idx="7">
                  <c:v>1</c:v>
                </c:pt>
                <c:pt idx="8">
                  <c:v>7.2435320025037039E-2</c:v>
                </c:pt>
              </c:numCache>
            </c:numRef>
          </c:val>
          <c:extLst>
            <c:ext xmlns:c16="http://schemas.microsoft.com/office/drawing/2014/chart" uri="{C3380CC4-5D6E-409C-BE32-E72D297353CC}">
              <c16:uniqueId val="{0000001D-F930-418C-B3F5-F146D73FC978}"/>
            </c:ext>
          </c:extLst>
        </c:ser>
        <c:ser>
          <c:idx val="30"/>
          <c:order val="30"/>
          <c:tx>
            <c:strRef>
              <c:f>'44 DMUS'!$V$36</c:f>
              <c:strCache>
                <c:ptCount val="1"/>
                <c:pt idx="0">
                  <c:v>Poland</c:v>
                </c:pt>
              </c:strCache>
            </c:strRef>
          </c:tx>
          <c:spPr>
            <a:ln w="28575" cap="rnd">
              <a:solidFill>
                <a:schemeClr val="accent1">
                  <a:lumMod val="5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DMUS'!$W$36:$AE$36</c:f>
              <c:numCache>
                <c:formatCode>General</c:formatCode>
                <c:ptCount val="9"/>
                <c:pt idx="0">
                  <c:v>4.3611555221849934E-3</c:v>
                </c:pt>
                <c:pt idx="1">
                  <c:v>0.20858247677406366</c:v>
                </c:pt>
                <c:pt idx="2">
                  <c:v>1.2852561243144024E-2</c:v>
                </c:pt>
                <c:pt idx="3">
                  <c:v>1.7658803678257701E-3</c:v>
                </c:pt>
                <c:pt idx="4">
                  <c:v>0.23652472430050381</c:v>
                </c:pt>
                <c:pt idx="5">
                  <c:v>5.2041449703163489E-3</c:v>
                </c:pt>
                <c:pt idx="6">
                  <c:v>1.5274911262383769E-3</c:v>
                </c:pt>
                <c:pt idx="7">
                  <c:v>8.8363666594944323E-2</c:v>
                </c:pt>
                <c:pt idx="8">
                  <c:v>4.5015989795525136E-3</c:v>
                </c:pt>
              </c:numCache>
            </c:numRef>
          </c:val>
          <c:extLst>
            <c:ext xmlns:c16="http://schemas.microsoft.com/office/drawing/2014/chart" uri="{C3380CC4-5D6E-409C-BE32-E72D297353CC}">
              <c16:uniqueId val="{0000001E-F930-418C-B3F5-F146D73FC978}"/>
            </c:ext>
          </c:extLst>
        </c:ser>
        <c:ser>
          <c:idx val="31"/>
          <c:order val="31"/>
          <c:tx>
            <c:strRef>
              <c:f>'44 DMUS'!$V$37</c:f>
              <c:strCache>
                <c:ptCount val="1"/>
                <c:pt idx="0">
                  <c:v>Portugal</c:v>
                </c:pt>
              </c:strCache>
            </c:strRef>
          </c:tx>
          <c:spPr>
            <a:ln w="28575" cap="rnd">
              <a:solidFill>
                <a:schemeClr val="accent2">
                  <a:lumMod val="5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DMUS'!$W$37:$AE$37</c:f>
              <c:numCache>
                <c:formatCode>General</c:formatCode>
                <c:ptCount val="9"/>
                <c:pt idx="0">
                  <c:v>2.3877885260027543E-2</c:v>
                </c:pt>
                <c:pt idx="1">
                  <c:v>0.36894488907141793</c:v>
                </c:pt>
                <c:pt idx="2">
                  <c:v>4.8684356217181313E-2</c:v>
                </c:pt>
                <c:pt idx="3">
                  <c:v>1.3505092374097758E-2</c:v>
                </c:pt>
                <c:pt idx="4">
                  <c:v>0.58438924866933206</c:v>
                </c:pt>
                <c:pt idx="5">
                  <c:v>2.753538350346172E-2</c:v>
                </c:pt>
                <c:pt idx="6">
                  <c:v>1.2664703031664865E-2</c:v>
                </c:pt>
                <c:pt idx="7">
                  <c:v>0.23668974119386571</c:v>
                </c:pt>
                <c:pt idx="8">
                  <c:v>2.5821922966124396E-2</c:v>
                </c:pt>
              </c:numCache>
            </c:numRef>
          </c:val>
          <c:extLst>
            <c:ext xmlns:c16="http://schemas.microsoft.com/office/drawing/2014/chart" uri="{C3380CC4-5D6E-409C-BE32-E72D297353CC}">
              <c16:uniqueId val="{0000001F-F930-418C-B3F5-F146D73FC978}"/>
            </c:ext>
          </c:extLst>
        </c:ser>
        <c:ser>
          <c:idx val="32"/>
          <c:order val="32"/>
          <c:tx>
            <c:strRef>
              <c:f>'44 DMUS'!$V$38</c:f>
              <c:strCache>
                <c:ptCount val="1"/>
                <c:pt idx="0">
                  <c:v>Romania</c:v>
                </c:pt>
              </c:strCache>
            </c:strRef>
          </c:tx>
          <c:spPr>
            <a:ln w="28575" cap="rnd">
              <a:solidFill>
                <a:schemeClr val="accent3">
                  <a:lumMod val="5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DMUS'!$W$38:$AE$38</c:f>
              <c:numCache>
                <c:formatCode>General</c:formatCode>
                <c:ptCount val="9"/>
                <c:pt idx="0">
                  <c:v>1.3982588668802663E-2</c:v>
                </c:pt>
                <c:pt idx="1">
                  <c:v>0.34569780110052467</c:v>
                </c:pt>
                <c:pt idx="2">
                  <c:v>5.1222017350683408E-2</c:v>
                </c:pt>
                <c:pt idx="3">
                  <c:v>4.1028972827528935E-3</c:v>
                </c:pt>
                <c:pt idx="4">
                  <c:v>0.28407871854248923</c:v>
                </c:pt>
                <c:pt idx="5">
                  <c:v>1.5030026326536895E-2</c:v>
                </c:pt>
                <c:pt idx="6">
                  <c:v>3.4168615575958347E-3</c:v>
                </c:pt>
                <c:pt idx="7">
                  <c:v>0.1021774839494346</c:v>
                </c:pt>
                <c:pt idx="8">
                  <c:v>1.2516891266246759E-2</c:v>
                </c:pt>
              </c:numCache>
            </c:numRef>
          </c:val>
          <c:extLst>
            <c:ext xmlns:c16="http://schemas.microsoft.com/office/drawing/2014/chart" uri="{C3380CC4-5D6E-409C-BE32-E72D297353CC}">
              <c16:uniqueId val="{00000020-F930-418C-B3F5-F146D73FC978}"/>
            </c:ext>
          </c:extLst>
        </c:ser>
        <c:ser>
          <c:idx val="33"/>
          <c:order val="33"/>
          <c:tx>
            <c:strRef>
              <c:f>'44 DMUS'!$V$39</c:f>
              <c:strCache>
                <c:ptCount val="1"/>
                <c:pt idx="0">
                  <c:v>Serbia</c:v>
                </c:pt>
              </c:strCache>
            </c:strRef>
          </c:tx>
          <c:spPr>
            <a:ln w="28575" cap="rnd">
              <a:solidFill>
                <a:schemeClr val="accent4">
                  <a:lumMod val="5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DMUS'!$W$39:$AE$39</c:f>
              <c:numCache>
                <c:formatCode>General</c:formatCode>
                <c:ptCount val="9"/>
                <c:pt idx="0">
                  <c:v>2.8112425742339815E-2</c:v>
                </c:pt>
                <c:pt idx="1">
                  <c:v>0.15371757738998984</c:v>
                </c:pt>
                <c:pt idx="2">
                  <c:v>8.2729133980352962E-2</c:v>
                </c:pt>
                <c:pt idx="3">
                  <c:v>9.9656552667147305E-3</c:v>
                </c:pt>
                <c:pt idx="4">
                  <c:v>0.15260546645569398</c:v>
                </c:pt>
                <c:pt idx="5">
                  <c:v>2.932689044049152E-2</c:v>
                </c:pt>
                <c:pt idx="6">
                  <c:v>6.3838815295134861E-3</c:v>
                </c:pt>
                <c:pt idx="7">
                  <c:v>4.2221029178454987E-2</c:v>
                </c:pt>
                <c:pt idx="8">
                  <c:v>1.8786461019420553E-2</c:v>
                </c:pt>
              </c:numCache>
            </c:numRef>
          </c:val>
          <c:extLst>
            <c:ext xmlns:c16="http://schemas.microsoft.com/office/drawing/2014/chart" uri="{C3380CC4-5D6E-409C-BE32-E72D297353CC}">
              <c16:uniqueId val="{00000021-F930-418C-B3F5-F146D73FC978}"/>
            </c:ext>
          </c:extLst>
        </c:ser>
        <c:ser>
          <c:idx val="34"/>
          <c:order val="34"/>
          <c:tx>
            <c:strRef>
              <c:f>'44 DMUS'!$V$40</c:f>
              <c:strCache>
                <c:ptCount val="1"/>
                <c:pt idx="0">
                  <c:v>Slovakia</c:v>
                </c:pt>
              </c:strCache>
            </c:strRef>
          </c:tx>
          <c:spPr>
            <a:ln w="28575" cap="rnd">
              <a:solidFill>
                <a:schemeClr val="accent5">
                  <a:lumMod val="5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DMUS'!$W$40:$AE$40</c:f>
              <c:numCache>
                <c:formatCode>General</c:formatCode>
                <c:ptCount val="9"/>
                <c:pt idx="0">
                  <c:v>3.9923538208648593E-2</c:v>
                </c:pt>
                <c:pt idx="1">
                  <c:v>0.27112763620276636</c:v>
                </c:pt>
                <c:pt idx="2">
                  <c:v>7.9555829426535038E-2</c:v>
                </c:pt>
                <c:pt idx="3">
                  <c:v>1.4678793285424431E-2</c:v>
                </c:pt>
                <c:pt idx="4">
                  <c:v>0.27917346668356047</c:v>
                </c:pt>
                <c:pt idx="5">
                  <c:v>2.9250503016529195E-2</c:v>
                </c:pt>
                <c:pt idx="6">
                  <c:v>1.2945904065068268E-2</c:v>
                </c:pt>
                <c:pt idx="7">
                  <c:v>0.10633982349698966</c:v>
                </c:pt>
                <c:pt idx="8">
                  <c:v>2.5797366210135824E-2</c:v>
                </c:pt>
              </c:numCache>
            </c:numRef>
          </c:val>
          <c:extLst>
            <c:ext xmlns:c16="http://schemas.microsoft.com/office/drawing/2014/chart" uri="{C3380CC4-5D6E-409C-BE32-E72D297353CC}">
              <c16:uniqueId val="{00000022-F930-418C-B3F5-F146D73FC978}"/>
            </c:ext>
          </c:extLst>
        </c:ser>
        <c:ser>
          <c:idx val="35"/>
          <c:order val="35"/>
          <c:tx>
            <c:strRef>
              <c:f>'44 DMUS'!$V$41</c:f>
              <c:strCache>
                <c:ptCount val="1"/>
                <c:pt idx="0">
                  <c:v>Slovenia</c:v>
                </c:pt>
              </c:strCache>
            </c:strRef>
          </c:tx>
          <c:spPr>
            <a:ln w="28575" cap="rnd">
              <a:solidFill>
                <a:schemeClr val="accent6">
                  <a:lumMod val="5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DMUS'!$W$41:$AE$41</c:f>
              <c:numCache>
                <c:formatCode>General</c:formatCode>
                <c:ptCount val="9"/>
                <c:pt idx="0">
                  <c:v>0.16550883992612955</c:v>
                </c:pt>
                <c:pt idx="1">
                  <c:v>0.29950553263306262</c:v>
                </c:pt>
                <c:pt idx="2">
                  <c:v>0.24379881327619257</c:v>
                </c:pt>
                <c:pt idx="3">
                  <c:v>6.6017212104926226E-2</c:v>
                </c:pt>
                <c:pt idx="4">
                  <c:v>0.33456449899732249</c:v>
                </c:pt>
                <c:pt idx="5">
                  <c:v>9.7245065424706317E-2</c:v>
                </c:pt>
                <c:pt idx="6">
                  <c:v>5.6018358688455352E-2</c:v>
                </c:pt>
                <c:pt idx="7">
                  <c:v>0.12261195615975731</c:v>
                </c:pt>
                <c:pt idx="8">
                  <c:v>8.2516495046554839E-2</c:v>
                </c:pt>
              </c:numCache>
            </c:numRef>
          </c:val>
          <c:extLst>
            <c:ext xmlns:c16="http://schemas.microsoft.com/office/drawing/2014/chart" uri="{C3380CC4-5D6E-409C-BE32-E72D297353CC}">
              <c16:uniqueId val="{00000023-F930-418C-B3F5-F146D73FC978}"/>
            </c:ext>
          </c:extLst>
        </c:ser>
        <c:ser>
          <c:idx val="36"/>
          <c:order val="36"/>
          <c:tx>
            <c:strRef>
              <c:f>'44 DMUS'!$V$42</c:f>
              <c:strCache>
                <c:ptCount val="1"/>
                <c:pt idx="0">
                  <c:v>Spain</c:v>
                </c:pt>
              </c:strCache>
            </c:strRef>
          </c:tx>
          <c:spPr>
            <a:ln w="28575" cap="rnd">
              <a:solidFill>
                <a:schemeClr val="accent1">
                  <a:lumMod val="70000"/>
                  <a:lumOff val="3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DMUS'!$W$42:$AE$42</c:f>
              <c:numCache>
                <c:formatCode>General</c:formatCode>
                <c:ptCount val="9"/>
                <c:pt idx="0">
                  <c:v>3.5109461793376576E-3</c:v>
                </c:pt>
                <c:pt idx="1">
                  <c:v>0.26791720226897447</c:v>
                </c:pt>
                <c:pt idx="2">
                  <c:v>8.8505840135240602E-3</c:v>
                </c:pt>
                <c:pt idx="3">
                  <c:v>2.2758462195684396E-3</c:v>
                </c:pt>
                <c:pt idx="4">
                  <c:v>0.48636057279715883</c:v>
                </c:pt>
                <c:pt idx="5">
                  <c:v>5.7370768844857405E-3</c:v>
                </c:pt>
                <c:pt idx="6">
                  <c:v>2.569304028011784E-3</c:v>
                </c:pt>
                <c:pt idx="7">
                  <c:v>0.23714321951871292</c:v>
                </c:pt>
                <c:pt idx="8">
                  <c:v>6.4768412828515526E-3</c:v>
                </c:pt>
              </c:numCache>
            </c:numRef>
          </c:val>
          <c:extLst>
            <c:ext xmlns:c16="http://schemas.microsoft.com/office/drawing/2014/chart" uri="{C3380CC4-5D6E-409C-BE32-E72D297353CC}">
              <c16:uniqueId val="{00000024-F930-418C-B3F5-F146D73FC978}"/>
            </c:ext>
          </c:extLst>
        </c:ser>
        <c:ser>
          <c:idx val="37"/>
          <c:order val="37"/>
          <c:tx>
            <c:strRef>
              <c:f>'44 DMUS'!$V$43</c:f>
              <c:strCache>
                <c:ptCount val="1"/>
                <c:pt idx="0">
                  <c:v>Sweden</c:v>
                </c:pt>
              </c:strCache>
            </c:strRef>
          </c:tx>
          <c:spPr>
            <a:ln w="28575" cap="rnd">
              <a:solidFill>
                <a:schemeClr val="accent2">
                  <a:lumMod val="70000"/>
                  <a:lumOff val="3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DMUS'!$W$43:$AE$43</c:f>
              <c:numCache>
                <c:formatCode>General</c:formatCode>
                <c:ptCount val="9"/>
                <c:pt idx="0">
                  <c:v>9.7549724228621591E-3</c:v>
                </c:pt>
                <c:pt idx="1">
                  <c:v>0.56307558049181639</c:v>
                </c:pt>
                <c:pt idx="2">
                  <c:v>4.5893955426889975E-2</c:v>
                </c:pt>
                <c:pt idx="3">
                  <c:v>6.186148370138111E-3</c:v>
                </c:pt>
                <c:pt idx="4">
                  <c:v>1</c:v>
                </c:pt>
                <c:pt idx="5">
                  <c:v>2.9103805244786833E-2</c:v>
                </c:pt>
                <c:pt idx="6">
                  <c:v>8.0877759792939707E-3</c:v>
                </c:pt>
                <c:pt idx="7">
                  <c:v>0.56466198061335393</c:v>
                </c:pt>
                <c:pt idx="8">
                  <c:v>3.8050341324028354E-2</c:v>
                </c:pt>
              </c:numCache>
            </c:numRef>
          </c:val>
          <c:extLst>
            <c:ext xmlns:c16="http://schemas.microsoft.com/office/drawing/2014/chart" uri="{C3380CC4-5D6E-409C-BE32-E72D297353CC}">
              <c16:uniqueId val="{00000025-F930-418C-B3F5-F146D73FC978}"/>
            </c:ext>
          </c:extLst>
        </c:ser>
        <c:ser>
          <c:idx val="38"/>
          <c:order val="38"/>
          <c:tx>
            <c:strRef>
              <c:f>'44 DMUS'!$V$44</c:f>
              <c:strCache>
                <c:ptCount val="1"/>
                <c:pt idx="0">
                  <c:v>Switzerland</c:v>
                </c:pt>
              </c:strCache>
            </c:strRef>
          </c:tx>
          <c:spPr>
            <a:ln w="28575" cap="rnd">
              <a:solidFill>
                <a:schemeClr val="accent3">
                  <a:lumMod val="70000"/>
                  <a:lumOff val="3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DMUS'!$W$44:$AE$44</c:f>
              <c:numCache>
                <c:formatCode>General</c:formatCode>
                <c:ptCount val="9"/>
                <c:pt idx="0">
                  <c:v>4.9486506785238464E-2</c:v>
                </c:pt>
                <c:pt idx="1">
                  <c:v>0.41719889154158274</c:v>
                </c:pt>
                <c:pt idx="2">
                  <c:v>9.4804133813141664E-2</c:v>
                </c:pt>
                <c:pt idx="3">
                  <c:v>2.6922177018812884E-2</c:v>
                </c:pt>
                <c:pt idx="4">
                  <c:v>0.63563169368055461</c:v>
                </c:pt>
                <c:pt idx="5">
                  <c:v>5.1576355625771723E-2</c:v>
                </c:pt>
                <c:pt idx="6">
                  <c:v>4.4751541648678957E-2</c:v>
                </c:pt>
                <c:pt idx="7">
                  <c:v>0.45633432267920271</c:v>
                </c:pt>
                <c:pt idx="8">
                  <c:v>8.5733090056606995E-2</c:v>
                </c:pt>
              </c:numCache>
            </c:numRef>
          </c:val>
          <c:extLst>
            <c:ext xmlns:c16="http://schemas.microsoft.com/office/drawing/2014/chart" uri="{C3380CC4-5D6E-409C-BE32-E72D297353CC}">
              <c16:uniqueId val="{00000026-F930-418C-B3F5-F146D73FC978}"/>
            </c:ext>
          </c:extLst>
        </c:ser>
        <c:ser>
          <c:idx val="39"/>
          <c:order val="39"/>
          <c:tx>
            <c:strRef>
              <c:f>'44 DMUS'!$V$45</c:f>
              <c:strCache>
                <c:ptCount val="1"/>
                <c:pt idx="0">
                  <c:v>Tajikistan</c:v>
                </c:pt>
              </c:strCache>
            </c:strRef>
          </c:tx>
          <c:spPr>
            <a:ln w="28575" cap="rnd">
              <a:solidFill>
                <a:schemeClr val="accent4">
                  <a:lumMod val="70000"/>
                  <a:lumOff val="3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DMUS'!$W$45:$AE$45</c:f>
              <c:numCache>
                <c:formatCode>General</c:formatCode>
                <c:ptCount val="9"/>
                <c:pt idx="0">
                  <c:v>3.6502122923599896E-2</c:v>
                </c:pt>
                <c:pt idx="1">
                  <c:v>4.1998058244115628E-2</c:v>
                </c:pt>
                <c:pt idx="2">
                  <c:v>0.15202320363653943</c:v>
                </c:pt>
                <c:pt idx="3">
                  <c:v>9.7785486854636457E-3</c:v>
                </c:pt>
                <c:pt idx="4">
                  <c:v>3.1508266588006754E-2</c:v>
                </c:pt>
                <c:pt idx="5">
                  <c:v>4.0725475096105655E-2</c:v>
                </c:pt>
                <c:pt idx="6">
                  <c:v>3.5319065472765392E-3</c:v>
                </c:pt>
                <c:pt idx="7">
                  <c:v>4.9151760581411892E-3</c:v>
                </c:pt>
                <c:pt idx="8">
                  <c:v>1.4709603312269354E-2</c:v>
                </c:pt>
              </c:numCache>
            </c:numRef>
          </c:val>
          <c:extLst>
            <c:ext xmlns:c16="http://schemas.microsoft.com/office/drawing/2014/chart" uri="{C3380CC4-5D6E-409C-BE32-E72D297353CC}">
              <c16:uniqueId val="{00000027-F930-418C-B3F5-F146D73FC978}"/>
            </c:ext>
          </c:extLst>
        </c:ser>
        <c:ser>
          <c:idx val="40"/>
          <c:order val="40"/>
          <c:tx>
            <c:strRef>
              <c:f>'44 DMUS'!$V$46</c:f>
              <c:strCache>
                <c:ptCount val="1"/>
                <c:pt idx="0">
                  <c:v>Ukraine</c:v>
                </c:pt>
              </c:strCache>
            </c:strRef>
          </c:tx>
          <c:spPr>
            <a:ln w="28575" cap="rnd">
              <a:solidFill>
                <a:schemeClr val="accent5">
                  <a:lumMod val="70000"/>
                  <a:lumOff val="3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DMUS'!$W$46:$AE$46</c:f>
              <c:numCache>
                <c:formatCode>General</c:formatCode>
                <c:ptCount val="9"/>
                <c:pt idx="0">
                  <c:v>3.4082121762579942E-3</c:v>
                </c:pt>
                <c:pt idx="1">
                  <c:v>0.21389704469290355</c:v>
                </c:pt>
                <c:pt idx="2">
                  <c:v>9.6835999678030679E-3</c:v>
                </c:pt>
                <c:pt idx="3">
                  <c:v>1.2961917091905062E-3</c:v>
                </c:pt>
                <c:pt idx="4">
                  <c:v>0.22781715313453565</c:v>
                </c:pt>
                <c:pt idx="5">
                  <c:v>3.6828112054821918E-3</c:v>
                </c:pt>
                <c:pt idx="6">
                  <c:v>6.6131549159407067E-4</c:v>
                </c:pt>
                <c:pt idx="7">
                  <c:v>5.0200222654288362E-2</c:v>
                </c:pt>
                <c:pt idx="8">
                  <c:v>1.8789659627761537E-3</c:v>
                </c:pt>
              </c:numCache>
            </c:numRef>
          </c:val>
          <c:extLst>
            <c:ext xmlns:c16="http://schemas.microsoft.com/office/drawing/2014/chart" uri="{C3380CC4-5D6E-409C-BE32-E72D297353CC}">
              <c16:uniqueId val="{00000028-F930-418C-B3F5-F146D73FC978}"/>
            </c:ext>
          </c:extLst>
        </c:ser>
        <c:ser>
          <c:idx val="41"/>
          <c:order val="41"/>
          <c:tx>
            <c:strRef>
              <c:f>'44 DMUS'!$V$47</c:f>
              <c:strCache>
                <c:ptCount val="1"/>
                <c:pt idx="0">
                  <c:v>United Kingdom</c:v>
                </c:pt>
              </c:strCache>
            </c:strRef>
          </c:tx>
          <c:spPr>
            <a:ln w="28575" cap="rnd">
              <a:solidFill>
                <a:schemeClr val="accent6">
                  <a:lumMod val="70000"/>
                  <a:lumOff val="3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DMUS'!$W$47:$AE$47</c:f>
              <c:numCache>
                <c:formatCode>General</c:formatCode>
                <c:ptCount val="9"/>
                <c:pt idx="0">
                  <c:v>2.0103845267867714E-3</c:v>
                </c:pt>
                <c:pt idx="1">
                  <c:v>0.22100185860141791</c:v>
                </c:pt>
                <c:pt idx="2">
                  <c:v>4.5637319784168472E-3</c:v>
                </c:pt>
                <c:pt idx="3">
                  <c:v>1.8586463047518792E-3</c:v>
                </c:pt>
                <c:pt idx="4">
                  <c:v>0.57220620952710188</c:v>
                </c:pt>
                <c:pt idx="5">
                  <c:v>4.2192742057759209E-3</c:v>
                </c:pt>
                <c:pt idx="6">
                  <c:v>2.0692490022504776E-3</c:v>
                </c:pt>
                <c:pt idx="7">
                  <c:v>0.27513657965953692</c:v>
                </c:pt>
                <c:pt idx="8">
                  <c:v>4.6973589962768713E-3</c:v>
                </c:pt>
              </c:numCache>
            </c:numRef>
          </c:val>
          <c:extLst>
            <c:ext xmlns:c16="http://schemas.microsoft.com/office/drawing/2014/chart" uri="{C3380CC4-5D6E-409C-BE32-E72D297353CC}">
              <c16:uniqueId val="{00000029-F930-418C-B3F5-F146D73FC978}"/>
            </c:ext>
          </c:extLst>
        </c:ser>
        <c:ser>
          <c:idx val="42"/>
          <c:order val="42"/>
          <c:tx>
            <c:strRef>
              <c:f>'44 DMUS'!$V$48</c:f>
              <c:strCache>
                <c:ptCount val="1"/>
                <c:pt idx="0">
                  <c:v>United States</c:v>
                </c:pt>
              </c:strCache>
            </c:strRef>
          </c:tx>
          <c:spPr>
            <a:ln w="28575" cap="rnd">
              <a:solidFill>
                <a:schemeClr val="accent1">
                  <a:lumMod val="7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DMUS'!$W$48:$AE$48</c:f>
              <c:numCache>
                <c:formatCode>General</c:formatCode>
                <c:ptCount val="9"/>
                <c:pt idx="0">
                  <c:v>3.0653980510599613E-4</c:v>
                </c:pt>
                <c:pt idx="1">
                  <c:v>0.37118920750076329</c:v>
                </c:pt>
                <c:pt idx="2">
                  <c:v>4.7572137669854591E-4</c:v>
                </c:pt>
                <c:pt idx="3">
                  <c:v>2.2249785971966107E-4</c:v>
                </c:pt>
                <c:pt idx="4">
                  <c:v>0.75452445778345834</c:v>
                </c:pt>
                <c:pt idx="5">
                  <c:v>3.452960639213465E-4</c:v>
                </c:pt>
                <c:pt idx="6">
                  <c:v>3.5658498147930805E-4</c:v>
                </c:pt>
                <c:pt idx="7">
                  <c:v>0.52226424904625435</c:v>
                </c:pt>
                <c:pt idx="8">
                  <c:v>5.5338685375853577E-4</c:v>
                </c:pt>
              </c:numCache>
            </c:numRef>
          </c:val>
          <c:extLst>
            <c:ext xmlns:c16="http://schemas.microsoft.com/office/drawing/2014/chart" uri="{C3380CC4-5D6E-409C-BE32-E72D297353CC}">
              <c16:uniqueId val="{0000002A-F930-418C-B3F5-F146D73FC978}"/>
            </c:ext>
          </c:extLst>
        </c:ser>
        <c:ser>
          <c:idx val="43"/>
          <c:order val="43"/>
          <c:tx>
            <c:strRef>
              <c:f>'44 DMUS'!$V$49</c:f>
              <c:strCache>
                <c:ptCount val="1"/>
                <c:pt idx="0">
                  <c:v>Uzbekistan</c:v>
                </c:pt>
              </c:strCache>
            </c:strRef>
          </c:tx>
          <c:spPr>
            <a:ln w="28575" cap="rnd">
              <a:solidFill>
                <a:schemeClr val="accent2">
                  <a:lumMod val="70000"/>
                </a:schemeClr>
              </a:solidFill>
              <a:prstDash val="solid"/>
              <a:round/>
            </a:ln>
          </c:spPr>
          <c:marker>
            <c:symbol val="none"/>
          </c:marker>
          <c:cat>
            <c:strRef>
              <c:f>'44 DMUS'!$W$5:$AE$5</c:f>
              <c:strCache>
                <c:ptCount val="9"/>
                <c:pt idx="0">
                  <c:v>M/N</c:v>
                </c:pt>
                <c:pt idx="1">
                  <c:v>M/C</c:v>
                </c:pt>
                <c:pt idx="2">
                  <c:v>M/G</c:v>
                </c:pt>
                <c:pt idx="3">
                  <c:v>A/N</c:v>
                </c:pt>
                <c:pt idx="4">
                  <c:v>A/C</c:v>
                </c:pt>
                <c:pt idx="5">
                  <c:v>A/G</c:v>
                </c:pt>
                <c:pt idx="6">
                  <c:v>D/N</c:v>
                </c:pt>
                <c:pt idx="7">
                  <c:v>D/C</c:v>
                </c:pt>
                <c:pt idx="8">
                  <c:v>D/G</c:v>
                </c:pt>
              </c:strCache>
            </c:strRef>
          </c:cat>
          <c:val>
            <c:numRef>
              <c:f>'44 DMUS'!$W$49:$AE$49</c:f>
              <c:numCache>
                <c:formatCode>General</c:formatCode>
                <c:ptCount val="9"/>
                <c:pt idx="0">
                  <c:v>6.8645016237426741E-3</c:v>
                </c:pt>
                <c:pt idx="1">
                  <c:v>6.9691699577470054E-2</c:v>
                </c:pt>
                <c:pt idx="2">
                  <c:v>1.8268200455613646E-2</c:v>
                </c:pt>
                <c:pt idx="3">
                  <c:v>1.6106947142153028E-3</c:v>
                </c:pt>
                <c:pt idx="4">
                  <c:v>4.5795657423048815E-2</c:v>
                </c:pt>
                <c:pt idx="5">
                  <c:v>4.2864719865911578E-3</c:v>
                </c:pt>
                <c:pt idx="6">
                  <c:v>1.295645363309367E-3</c:v>
                </c:pt>
                <c:pt idx="7">
                  <c:v>1.5910248960308373E-2</c:v>
                </c:pt>
                <c:pt idx="8">
                  <c:v>3.4480448128173039E-3</c:v>
                </c:pt>
              </c:numCache>
            </c:numRef>
          </c:val>
          <c:extLst>
            <c:ext xmlns:c16="http://schemas.microsoft.com/office/drawing/2014/chart" uri="{C3380CC4-5D6E-409C-BE32-E72D297353CC}">
              <c16:uniqueId val="{0000002B-F930-418C-B3F5-F146D73FC978}"/>
            </c:ext>
          </c:extLst>
        </c:ser>
        <c:dLbls>
          <c:showLegendKey val="0"/>
          <c:showVal val="0"/>
          <c:showCatName val="0"/>
          <c:showSerName val="0"/>
          <c:showPercent val="0"/>
          <c:showBubbleSize val="0"/>
        </c:dLbls>
        <c:axId val="885222384"/>
        <c:axId val="885221424"/>
      </c:radarChart>
      <c:catAx>
        <c:axId val="88522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885221424"/>
        <c:crosses val="autoZero"/>
        <c:auto val="1"/>
        <c:lblAlgn val="ctr"/>
        <c:lblOffset val="100"/>
        <c:noMultiLvlLbl val="0"/>
      </c:catAx>
      <c:valAx>
        <c:axId val="885221424"/>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885222384"/>
        <c:crosses val="autoZero"/>
        <c:crossBetween val="between"/>
      </c:valAx>
      <c:spPr>
        <a:ln>
          <a:solidFill>
            <a:schemeClr val="bg1"/>
          </a:solidFill>
          <a:prstDash val="sysDash"/>
        </a:ln>
      </c:spPr>
    </c:plotArea>
    <c:legend>
      <c:legendPos val="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762000</xdr:colOff>
      <xdr:row>60</xdr:row>
      <xdr:rowOff>9525</xdr:rowOff>
    </xdr:from>
    <xdr:to>
      <xdr:col>20</xdr:col>
      <xdr:colOff>923925</xdr:colOff>
      <xdr:row>130</xdr:row>
      <xdr:rowOff>9525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65314</xdr:colOff>
      <xdr:row>22</xdr:row>
      <xdr:rowOff>5443</xdr:rowOff>
    </xdr:to>
    <xdr:pic>
      <xdr:nvPicPr>
        <xdr:cNvPr id="2" name="Picture 1">
          <a:extLst>
            <a:ext uri="{FF2B5EF4-FFF2-40B4-BE49-F238E27FC236}">
              <a16:creationId xmlns:a16="http://schemas.microsoft.com/office/drawing/2014/main" id="{F629F555-F5BA-E16B-3975-190AD1530B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943600" cy="407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20</xdr:col>
      <xdr:colOff>65314</xdr:colOff>
      <xdr:row>23</xdr:row>
      <xdr:rowOff>168729</xdr:rowOff>
    </xdr:to>
    <xdr:pic>
      <xdr:nvPicPr>
        <xdr:cNvPr id="3" name="Picture 2">
          <a:extLst>
            <a:ext uri="{FF2B5EF4-FFF2-40B4-BE49-F238E27FC236}">
              <a16:creationId xmlns:a16="http://schemas.microsoft.com/office/drawing/2014/main" id="{847DE0D1-795B-51FF-EB41-277202A372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84571" y="1480457"/>
          <a:ext cx="5943600" cy="2944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 totalsRowShown="0" headerRowDxfId="40" dataDxfId="39">
  <autoFilter ref="A1:M10" xr:uid="{00000000-0009-0000-0100-000001000000}"/>
  <tableColumns count="13">
    <tableColumn id="13" xr3:uid="{00000000-0010-0000-0000-00000D000000}" name="INPUT/ OUTPUT" dataDxfId="38"/>
    <tableColumn id="1" xr3:uid="{00000000-0010-0000-0000-000001000000}" name="Code" dataDxfId="37"/>
    <tableColumn id="2" xr3:uid="{00000000-0010-0000-0000-000002000000}" name="License Type" dataDxfId="36"/>
    <tableColumn id="3" xr3:uid="{00000000-0010-0000-0000-000003000000}" name="Indicator Name" dataDxfId="35"/>
    <tableColumn id="4" xr3:uid="{00000000-0010-0000-0000-000004000000}" name="Short definition" dataDxfId="34"/>
    <tableColumn id="5" xr3:uid="{00000000-0010-0000-0000-000005000000}" name="Long definition" dataDxfId="33"/>
    <tableColumn id="6" xr3:uid="{00000000-0010-0000-0000-000006000000}" name="Source" dataDxfId="32"/>
    <tableColumn id="7" xr3:uid="{00000000-0010-0000-0000-000007000000}" name="Topic" dataDxfId="31"/>
    <tableColumn id="8" xr3:uid="{00000000-0010-0000-0000-000008000000}" name="Dataset" dataDxfId="30"/>
    <tableColumn id="9" xr3:uid="{00000000-0010-0000-0000-000009000000}" name="Unit of measure" dataDxfId="29"/>
    <tableColumn id="10" xr3:uid="{00000000-0010-0000-0000-00000A000000}" name="Periodicity" dataDxfId="28"/>
    <tableColumn id="11" xr3:uid="{00000000-0010-0000-0000-00000B000000}" name="Aggregation method" dataDxfId="27"/>
    <tableColumn id="12" xr3:uid="{00000000-0010-0000-0000-00000C000000}" name="License URL" dataDxfId="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70"/>
  <sheetViews>
    <sheetView zoomScale="63" workbookViewId="0">
      <selection activeCell="F38" sqref="F38"/>
    </sheetView>
  </sheetViews>
  <sheetFormatPr defaultRowHeight="14.6" x14ac:dyDescent="0.4"/>
  <cols>
    <col min="1" max="1" width="14.84375" bestFit="1" customWidth="1"/>
    <col min="2" max="2" width="28.15234375" bestFit="1" customWidth="1"/>
    <col min="3" max="3" width="22.69140625" bestFit="1" customWidth="1"/>
    <col min="4" max="4" width="37.15234375" bestFit="1" customWidth="1"/>
    <col min="5" max="5" width="13.69140625" bestFit="1" customWidth="1"/>
    <col min="6" max="6" width="9.3046875" bestFit="1" customWidth="1"/>
    <col min="7" max="7" width="14.15234375" bestFit="1" customWidth="1"/>
  </cols>
  <sheetData>
    <row r="1" spans="1:7" s="9" customFormat="1" x14ac:dyDescent="0.4">
      <c r="A1" t="s">
        <v>0</v>
      </c>
      <c r="B1" t="s">
        <v>1</v>
      </c>
      <c r="C1" t="s">
        <v>2</v>
      </c>
      <c r="D1" t="s">
        <v>3</v>
      </c>
      <c r="E1" t="s">
        <v>4</v>
      </c>
      <c r="F1" t="s">
        <v>5</v>
      </c>
      <c r="G1" t="s">
        <v>6</v>
      </c>
    </row>
    <row r="2" spans="1:7" s="4" customFormat="1" x14ac:dyDescent="0.4">
      <c r="A2" s="10" t="s">
        <v>7</v>
      </c>
      <c r="B2">
        <v>1201555.2</v>
      </c>
      <c r="C2">
        <v>18.982710000000001</v>
      </c>
      <c r="D2">
        <v>9691539</v>
      </c>
      <c r="E2" s="10">
        <v>5.67</v>
      </c>
      <c r="F2" s="10">
        <v>0.49429400000000001</v>
      </c>
      <c r="G2">
        <v>10192.529</v>
      </c>
    </row>
    <row r="3" spans="1:7" s="4" customFormat="1" x14ac:dyDescent="0.4">
      <c r="A3" s="10" t="s">
        <v>8</v>
      </c>
      <c r="B3">
        <v>1064272.8</v>
      </c>
      <c r="C3">
        <v>40.585369999999998</v>
      </c>
      <c r="D3">
        <v>8801828</v>
      </c>
      <c r="E3" s="10">
        <v>9.2100000000000009</v>
      </c>
      <c r="F3" s="10">
        <v>0.43820999999999999</v>
      </c>
      <c r="G3">
        <v>10076.352000000001</v>
      </c>
    </row>
    <row r="4" spans="1:7" s="4" customFormat="1" x14ac:dyDescent="0.4">
      <c r="A4" s="10" t="s">
        <v>9</v>
      </c>
      <c r="B4">
        <v>3972916</v>
      </c>
      <c r="C4">
        <v>13.628450000000001</v>
      </c>
      <c r="D4">
        <v>75462370</v>
      </c>
      <c r="E4" s="10">
        <v>16.690000000000001</v>
      </c>
      <c r="F4" s="10">
        <v>0.70839799999999997</v>
      </c>
      <c r="G4">
        <v>41255.714999999997</v>
      </c>
    </row>
    <row r="5" spans="1:7" x14ac:dyDescent="0.4">
      <c r="A5" s="10" t="s">
        <v>10</v>
      </c>
      <c r="B5">
        <v>3567308.2</v>
      </c>
      <c r="C5">
        <v>29.667269999999998</v>
      </c>
      <c r="D5">
        <v>60206376</v>
      </c>
      <c r="E5" s="10">
        <v>4.99</v>
      </c>
      <c r="F5" s="10">
        <v>0.30621900000000002</v>
      </c>
      <c r="G5">
        <v>17463.758000000002</v>
      </c>
    </row>
    <row r="6" spans="1:7" s="4" customFormat="1" x14ac:dyDescent="0.4">
      <c r="A6" s="10" t="s">
        <v>11</v>
      </c>
      <c r="B6">
        <v>28768802</v>
      </c>
      <c r="C6">
        <v>16.49174</v>
      </c>
      <c r="D6">
        <v>111591896</v>
      </c>
      <c r="E6" s="10">
        <v>20.64</v>
      </c>
      <c r="F6" s="10">
        <v>0.38143300000000002</v>
      </c>
      <c r="G6">
        <v>18122.863000000001</v>
      </c>
    </row>
    <row r="7" spans="1:7" s="4" customFormat="1" x14ac:dyDescent="0.4">
      <c r="A7" s="10" t="s">
        <v>12</v>
      </c>
      <c r="B7">
        <v>9323679</v>
      </c>
      <c r="C7">
        <v>13.27885</v>
      </c>
      <c r="D7">
        <v>126559150</v>
      </c>
      <c r="E7" s="10">
        <v>12.69</v>
      </c>
      <c r="F7" s="5">
        <v>0.71222556000000004</v>
      </c>
      <c r="G7">
        <v>39160.324000000001</v>
      </c>
    </row>
    <row r="8" spans="1:7" x14ac:dyDescent="0.4">
      <c r="A8" s="10" t="s">
        <v>13</v>
      </c>
      <c r="B8">
        <v>3847866</v>
      </c>
      <c r="C8">
        <v>20.41206</v>
      </c>
      <c r="D8">
        <v>59439004</v>
      </c>
      <c r="E8" s="10">
        <v>13.63</v>
      </c>
      <c r="F8" s="10">
        <v>0.54433600000000004</v>
      </c>
      <c r="G8">
        <v>16186.409</v>
      </c>
    </row>
    <row r="9" spans="1:7" x14ac:dyDescent="0.4">
      <c r="A9" s="10" t="s">
        <v>14</v>
      </c>
      <c r="B9">
        <v>42385420</v>
      </c>
      <c r="C9">
        <v>7.1536400000000002</v>
      </c>
      <c r="D9">
        <v>857682560</v>
      </c>
      <c r="E9" s="10">
        <v>9.98</v>
      </c>
      <c r="F9" s="10">
        <v>0.78090999999999999</v>
      </c>
      <c r="G9">
        <v>43761.527000000002</v>
      </c>
    </row>
    <row r="10" spans="1:7" x14ac:dyDescent="0.4">
      <c r="A10" s="10" t="s">
        <v>15</v>
      </c>
      <c r="B10">
        <v>2343456</v>
      </c>
      <c r="C10">
        <v>18.646889999999999</v>
      </c>
      <c r="D10">
        <v>23499504</v>
      </c>
      <c r="E10" s="10">
        <v>12.73</v>
      </c>
      <c r="F10" s="10">
        <v>0.60917900000000003</v>
      </c>
      <c r="G10">
        <v>20025.754000000001</v>
      </c>
    </row>
    <row r="11" spans="1:7" x14ac:dyDescent="0.4">
      <c r="A11" s="10" t="s">
        <v>16</v>
      </c>
      <c r="B11">
        <v>342181.62</v>
      </c>
      <c r="C11">
        <v>15.126860000000001</v>
      </c>
      <c r="D11">
        <v>7644012</v>
      </c>
      <c r="E11" s="10">
        <v>4.26</v>
      </c>
      <c r="F11" s="10">
        <v>0.68421100000000001</v>
      </c>
      <c r="G11">
        <v>25081.504000000001</v>
      </c>
    </row>
    <row r="12" spans="1:7" x14ac:dyDescent="0.4">
      <c r="A12" s="10" t="s">
        <v>17</v>
      </c>
      <c r="B12">
        <v>6440591.5</v>
      </c>
      <c r="C12">
        <v>17.515899999999998</v>
      </c>
      <c r="D12">
        <v>119829860</v>
      </c>
      <c r="E12" s="10">
        <v>23.92</v>
      </c>
      <c r="F12" s="10">
        <v>0.68402399999999997</v>
      </c>
      <c r="G12">
        <v>28437.603999999999</v>
      </c>
    </row>
    <row r="13" spans="1:7" x14ac:dyDescent="0.4">
      <c r="A13" s="10" t="s">
        <v>18</v>
      </c>
      <c r="B13">
        <v>5416969.5</v>
      </c>
      <c r="C13">
        <v>10.725849999999999</v>
      </c>
      <c r="D13">
        <v>52924036</v>
      </c>
      <c r="E13" s="10">
        <v>12.4</v>
      </c>
      <c r="F13" s="10">
        <v>0.77490199999999998</v>
      </c>
      <c r="G13">
        <v>44940.887000000002</v>
      </c>
    </row>
    <row r="14" spans="1:7" x14ac:dyDescent="0.4">
      <c r="A14" s="10" t="s">
        <v>19</v>
      </c>
      <c r="B14">
        <v>1773684.6</v>
      </c>
      <c r="C14">
        <v>6.7455800000000004</v>
      </c>
      <c r="D14">
        <v>21289860</v>
      </c>
      <c r="E14" s="10">
        <v>13.91</v>
      </c>
      <c r="F14" s="10">
        <v>0.71085799999999999</v>
      </c>
      <c r="G14">
        <v>24473.66</v>
      </c>
    </row>
    <row r="15" spans="1:7" x14ac:dyDescent="0.4">
      <c r="A15" s="10" t="s">
        <v>20</v>
      </c>
      <c r="B15">
        <v>7348762</v>
      </c>
      <c r="C15">
        <v>5.8262299999999998</v>
      </c>
      <c r="D15">
        <v>88243340</v>
      </c>
      <c r="E15" s="10">
        <v>14.68</v>
      </c>
      <c r="F15" s="10">
        <v>0.71167100000000005</v>
      </c>
      <c r="G15">
        <v>36986.699999999997</v>
      </c>
    </row>
    <row r="16" spans="1:7" x14ac:dyDescent="0.4">
      <c r="A16" s="10" t="s">
        <v>21</v>
      </c>
      <c r="B16">
        <v>39493550</v>
      </c>
      <c r="C16">
        <v>12.20689</v>
      </c>
      <c r="D16">
        <v>404057660</v>
      </c>
      <c r="E16" s="10">
        <v>10.43</v>
      </c>
      <c r="F16" s="5">
        <v>0.73974150000000005</v>
      </c>
      <c r="G16">
        <v>37077.89</v>
      </c>
    </row>
    <row r="17" spans="1:7" x14ac:dyDescent="0.4">
      <c r="A17" s="10" t="s">
        <v>22</v>
      </c>
      <c r="B17">
        <v>1816214.2</v>
      </c>
      <c r="C17">
        <v>22.569389999999999</v>
      </c>
      <c r="D17">
        <v>9192436</v>
      </c>
      <c r="E17" s="10">
        <v>8.86</v>
      </c>
      <c r="F17" s="10">
        <v>0.55564499999999994</v>
      </c>
      <c r="G17">
        <v>10629.593999999999</v>
      </c>
    </row>
    <row r="18" spans="1:7" x14ac:dyDescent="0.4">
      <c r="A18" s="10" t="s">
        <v>23</v>
      </c>
      <c r="B18">
        <v>39767790</v>
      </c>
      <c r="C18">
        <v>12.644629999999999</v>
      </c>
      <c r="D18">
        <v>894566400</v>
      </c>
      <c r="E18" s="10">
        <v>20.350000000000001</v>
      </c>
      <c r="F18" s="10">
        <v>0.78161800000000003</v>
      </c>
      <c r="G18">
        <v>44405.167999999998</v>
      </c>
    </row>
    <row r="19" spans="1:7" x14ac:dyDescent="0.4">
      <c r="A19" s="10" t="s">
        <v>24</v>
      </c>
      <c r="B19">
        <v>4579830</v>
      </c>
      <c r="C19">
        <v>16.445550000000001</v>
      </c>
      <c r="D19">
        <v>84390630</v>
      </c>
      <c r="E19" s="10">
        <v>8.2899999999999991</v>
      </c>
      <c r="F19" s="10">
        <v>0.64623299999999995</v>
      </c>
      <c r="G19">
        <v>22696.203000000001</v>
      </c>
    </row>
    <row r="20" spans="1:7" x14ac:dyDescent="0.4">
      <c r="A20" s="10" t="s">
        <v>25</v>
      </c>
      <c r="B20">
        <v>6969051</v>
      </c>
      <c r="C20">
        <v>17.161010000000001</v>
      </c>
      <c r="D20">
        <v>57328544</v>
      </c>
      <c r="E20" s="10">
        <v>20.22</v>
      </c>
      <c r="F20" s="10">
        <v>0.56093099999999996</v>
      </c>
      <c r="G20">
        <v>22993.375</v>
      </c>
    </row>
    <row r="21" spans="1:7" x14ac:dyDescent="0.4">
      <c r="A21" s="10" t="s">
        <v>26</v>
      </c>
      <c r="B21">
        <v>367652.34</v>
      </c>
      <c r="C21">
        <v>6.4300100000000002</v>
      </c>
      <c r="D21">
        <v>4808067.5</v>
      </c>
      <c r="E21" s="10">
        <v>10.73</v>
      </c>
      <c r="F21" s="10">
        <v>0.76290400000000003</v>
      </c>
      <c r="G21">
        <v>39756.527000000002</v>
      </c>
    </row>
    <row r="22" spans="1:7" x14ac:dyDescent="0.4">
      <c r="A22" s="10" t="s">
        <v>27</v>
      </c>
      <c r="B22">
        <v>8910458</v>
      </c>
      <c r="C22">
        <v>9.1618700000000004</v>
      </c>
      <c r="D22">
        <v>63314196</v>
      </c>
      <c r="E22" s="10">
        <v>34.75</v>
      </c>
      <c r="F22" s="10">
        <v>0.75645300000000004</v>
      </c>
      <c r="G22">
        <v>53196.597999999998</v>
      </c>
    </row>
    <row r="23" spans="1:7" x14ac:dyDescent="0.4">
      <c r="A23" s="10" t="s">
        <v>28</v>
      </c>
      <c r="B23">
        <v>2627072.7999999998</v>
      </c>
      <c r="C23">
        <v>21.654979999999998</v>
      </c>
      <c r="D23">
        <v>77176136</v>
      </c>
      <c r="E23" s="10">
        <v>12.78</v>
      </c>
      <c r="F23" s="10">
        <v>0.73618799999999995</v>
      </c>
      <c r="G23">
        <v>31050.407999999999</v>
      </c>
    </row>
    <row r="24" spans="1:7" x14ac:dyDescent="0.4">
      <c r="A24" s="10" t="s">
        <v>29</v>
      </c>
      <c r="B24">
        <v>16488255</v>
      </c>
      <c r="C24">
        <v>17.27739</v>
      </c>
      <c r="D24">
        <v>397890080</v>
      </c>
      <c r="E24" s="10">
        <v>14.4</v>
      </c>
      <c r="F24" s="10">
        <v>0.70633299999999999</v>
      </c>
      <c r="G24">
        <v>33620.741999999998</v>
      </c>
    </row>
    <row r="25" spans="1:7" x14ac:dyDescent="0.4">
      <c r="A25" s="10" t="s">
        <v>30</v>
      </c>
      <c r="B25">
        <v>11072543</v>
      </c>
      <c r="C25">
        <v>30.831779999999998</v>
      </c>
      <c r="D25">
        <v>369324380</v>
      </c>
      <c r="E25" s="10">
        <v>10.28</v>
      </c>
      <c r="F25" s="10">
        <v>0.37193799999999999</v>
      </c>
      <c r="G25">
        <v>23782.562000000002</v>
      </c>
    </row>
    <row r="26" spans="1:7" x14ac:dyDescent="0.4">
      <c r="A26" s="10" t="s">
        <v>31</v>
      </c>
      <c r="B26">
        <v>1701691.8</v>
      </c>
      <c r="C26">
        <v>44.577559999999998</v>
      </c>
      <c r="D26">
        <v>20268746</v>
      </c>
      <c r="E26" s="10">
        <v>14.05</v>
      </c>
      <c r="F26" s="10">
        <v>0.41885</v>
      </c>
      <c r="G26">
        <v>4772.76</v>
      </c>
    </row>
    <row r="27" spans="1:7" x14ac:dyDescent="0.4">
      <c r="A27" s="10" t="s">
        <v>32</v>
      </c>
      <c r="B27">
        <v>2201798.7999999998</v>
      </c>
      <c r="C27">
        <v>13.399559999999999</v>
      </c>
      <c r="D27">
        <v>15552152</v>
      </c>
      <c r="E27" s="10">
        <v>10.47</v>
      </c>
      <c r="F27" s="10">
        <v>0.62699199999999999</v>
      </c>
      <c r="G27">
        <v>22179.42</v>
      </c>
    </row>
    <row r="28" spans="1:7" x14ac:dyDescent="0.4">
      <c r="A28" s="10" t="s">
        <v>33</v>
      </c>
      <c r="B28">
        <v>6299640</v>
      </c>
      <c r="C28">
        <v>11.437580000000001</v>
      </c>
      <c r="D28">
        <v>25367098</v>
      </c>
      <c r="E28" s="10">
        <v>17.21</v>
      </c>
      <c r="F28" s="10">
        <v>0.66436799999999996</v>
      </c>
      <c r="G28">
        <v>23968.848000000002</v>
      </c>
    </row>
    <row r="29" spans="1:7" x14ac:dyDescent="0.4">
      <c r="A29" s="10" t="s">
        <v>34</v>
      </c>
      <c r="B29">
        <v>49154.36</v>
      </c>
      <c r="C29">
        <v>13.853</v>
      </c>
      <c r="D29">
        <v>1892776</v>
      </c>
      <c r="E29" s="10">
        <v>7.45</v>
      </c>
      <c r="F29" s="10">
        <v>0.67796100000000004</v>
      </c>
      <c r="G29">
        <v>28906.48</v>
      </c>
    </row>
    <row r="30" spans="1:7" x14ac:dyDescent="0.4">
      <c r="A30" s="10" t="s">
        <v>35</v>
      </c>
      <c r="B30">
        <v>12815863</v>
      </c>
      <c r="C30">
        <v>12.585039999999999</v>
      </c>
      <c r="D30">
        <v>209520130</v>
      </c>
      <c r="E30" s="10">
        <v>10.8</v>
      </c>
      <c r="F30" s="10">
        <v>0.74280800000000002</v>
      </c>
      <c r="G30">
        <v>44912.663999999997</v>
      </c>
    </row>
    <row r="31" spans="1:7" x14ac:dyDescent="0.4">
      <c r="A31" s="10" t="s">
        <v>36</v>
      </c>
      <c r="B31">
        <v>4156485.5</v>
      </c>
      <c r="C31">
        <v>6.8202999999999996</v>
      </c>
      <c r="D31">
        <v>75014970</v>
      </c>
      <c r="E31" s="10">
        <v>6.96</v>
      </c>
      <c r="F31" s="10">
        <v>0.80465399999999998</v>
      </c>
      <c r="G31">
        <v>82983.990000000005</v>
      </c>
    </row>
    <row r="32" spans="1:7" x14ac:dyDescent="0.4">
      <c r="A32" s="10" t="s">
        <v>37</v>
      </c>
      <c r="B32">
        <v>27035148</v>
      </c>
      <c r="C32">
        <v>22.587910000000001</v>
      </c>
      <c r="D32">
        <v>353246460</v>
      </c>
      <c r="E32" s="10">
        <v>17.87</v>
      </c>
      <c r="F32" s="10">
        <v>0.65846499999999997</v>
      </c>
      <c r="G32">
        <v>24285.14</v>
      </c>
    </row>
    <row r="33" spans="1:7" x14ac:dyDescent="0.4">
      <c r="A33" s="10" t="s">
        <v>38</v>
      </c>
      <c r="B33">
        <v>3354506.2</v>
      </c>
      <c r="C33">
        <v>8.6753400000000003</v>
      </c>
      <c r="D33">
        <v>63353732</v>
      </c>
      <c r="E33" s="10">
        <v>12.14</v>
      </c>
      <c r="F33" s="10">
        <v>0.62483999999999995</v>
      </c>
      <c r="G33">
        <v>24983.701000000001</v>
      </c>
    </row>
    <row r="34" spans="1:7" x14ac:dyDescent="0.4">
      <c r="A34" s="10" t="s">
        <v>39</v>
      </c>
      <c r="B34">
        <v>9536401</v>
      </c>
      <c r="C34">
        <v>15.41342</v>
      </c>
      <c r="D34">
        <v>100242660</v>
      </c>
      <c r="E34" s="10">
        <v>20.21</v>
      </c>
      <c r="F34" s="10">
        <v>0.53965700000000005</v>
      </c>
      <c r="G34">
        <v>19162.186000000002</v>
      </c>
    </row>
    <row r="35" spans="1:7" x14ac:dyDescent="0.4">
      <c r="A35" s="10" t="s">
        <v>40</v>
      </c>
      <c r="B35">
        <v>3466474</v>
      </c>
      <c r="C35">
        <v>25.332979999999999</v>
      </c>
      <c r="D35">
        <v>45359156</v>
      </c>
      <c r="E35" s="10">
        <v>14.77</v>
      </c>
      <c r="F35" s="10">
        <v>0.47647099999999998</v>
      </c>
      <c r="G35">
        <v>13013.853999999999</v>
      </c>
    </row>
    <row r="36" spans="1:7" x14ac:dyDescent="0.4">
      <c r="A36" s="10" t="s">
        <v>41</v>
      </c>
      <c r="B36">
        <v>3237510.5</v>
      </c>
      <c r="C36">
        <v>19.049779999999998</v>
      </c>
      <c r="D36">
        <v>62561244</v>
      </c>
      <c r="E36" s="10">
        <v>19.59</v>
      </c>
      <c r="F36" s="10">
        <v>0.65545699999999996</v>
      </c>
      <c r="G36">
        <v>24647.719000000001</v>
      </c>
    </row>
    <row r="37" spans="1:7" x14ac:dyDescent="0.4">
      <c r="A37" s="10" t="s">
        <v>42</v>
      </c>
      <c r="B37">
        <v>794894.94</v>
      </c>
      <c r="C37">
        <v>17.55293</v>
      </c>
      <c r="D37">
        <v>20779568</v>
      </c>
      <c r="E37" s="10">
        <v>19.940000000000001</v>
      </c>
      <c r="F37" s="10">
        <v>0.72378500000000001</v>
      </c>
      <c r="G37">
        <v>26186.248</v>
      </c>
    </row>
    <row r="38" spans="1:7" x14ac:dyDescent="0.4">
      <c r="A38" s="10" t="s">
        <v>43</v>
      </c>
      <c r="B38">
        <v>21216588</v>
      </c>
      <c r="C38">
        <v>11.11022</v>
      </c>
      <c r="D38">
        <v>324089500</v>
      </c>
      <c r="E38" s="10">
        <v>11.29</v>
      </c>
      <c r="F38" s="5">
        <v>0.66597989999999996</v>
      </c>
      <c r="G38" s="4">
        <v>32057.098000000002</v>
      </c>
    </row>
    <row r="39" spans="1:7" x14ac:dyDescent="0.4">
      <c r="A39" s="10" t="s">
        <v>44</v>
      </c>
      <c r="B39">
        <v>9205298</v>
      </c>
      <c r="C39">
        <v>6.3726599999999998</v>
      </c>
      <c r="D39">
        <v>75343464</v>
      </c>
      <c r="E39" s="10">
        <v>13.61</v>
      </c>
      <c r="F39" s="10">
        <v>0.78541799999999995</v>
      </c>
      <c r="G39">
        <v>43782.457000000002</v>
      </c>
    </row>
    <row r="40" spans="1:7" x14ac:dyDescent="0.4">
      <c r="A40" s="10" t="s">
        <v>45</v>
      </c>
      <c r="B40">
        <v>2282562.7999999998</v>
      </c>
      <c r="C40">
        <v>10.81907</v>
      </c>
      <c r="D40">
        <v>45879580</v>
      </c>
      <c r="E40" s="10">
        <v>17.12</v>
      </c>
      <c r="F40" s="10">
        <v>0.84757000000000005</v>
      </c>
      <c r="G40">
        <v>60070.866999999998</v>
      </c>
    </row>
    <row r="41" spans="1:7" x14ac:dyDescent="0.4">
      <c r="A41" s="10" t="s">
        <v>46</v>
      </c>
      <c r="B41">
        <v>1821999.2</v>
      </c>
      <c r="C41">
        <v>63.279150000000001</v>
      </c>
      <c r="D41">
        <v>16845876</v>
      </c>
      <c r="E41" s="10">
        <v>10.08</v>
      </c>
      <c r="F41" s="10">
        <v>0.24573400000000001</v>
      </c>
      <c r="G41">
        <v>3784.3434999999999</v>
      </c>
    </row>
    <row r="42" spans="1:7" x14ac:dyDescent="0.4">
      <c r="A42" s="10" t="s">
        <v>47</v>
      </c>
      <c r="B42">
        <v>23037010</v>
      </c>
      <c r="C42">
        <v>14.66802</v>
      </c>
      <c r="D42">
        <v>312214500</v>
      </c>
      <c r="E42" s="10">
        <v>11.9</v>
      </c>
      <c r="F42" s="10">
        <v>0.41184900000000002</v>
      </c>
      <c r="G42">
        <v>8959.1740000000009</v>
      </c>
    </row>
    <row r="43" spans="1:7" x14ac:dyDescent="0.4">
      <c r="A43" s="10" t="s">
        <v>48</v>
      </c>
      <c r="B43">
        <v>30488942</v>
      </c>
      <c r="C43">
        <v>11.082789999999999</v>
      </c>
      <c r="D43">
        <v>517176200</v>
      </c>
      <c r="E43" s="10">
        <v>9.2899999999999991</v>
      </c>
      <c r="F43" s="10">
        <v>0.78159500000000004</v>
      </c>
      <c r="G43">
        <v>37101.226999999999</v>
      </c>
    </row>
    <row r="44" spans="1:7" x14ac:dyDescent="0.4">
      <c r="A44" s="10" t="s">
        <v>49</v>
      </c>
      <c r="B44">
        <v>251828430</v>
      </c>
      <c r="C44">
        <v>8.3103599999999993</v>
      </c>
      <c r="D44">
        <v>6248505300</v>
      </c>
      <c r="E44" s="10">
        <v>11.7</v>
      </c>
      <c r="F44" s="6">
        <v>0.77281093999999995</v>
      </c>
      <c r="G44">
        <v>52808.152000000002</v>
      </c>
    </row>
    <row r="45" spans="1:7" x14ac:dyDescent="0.4">
      <c r="A45" s="10" t="s">
        <v>50</v>
      </c>
      <c r="B45">
        <v>12312490</v>
      </c>
      <c r="C45">
        <v>48.461559999999999</v>
      </c>
      <c r="D45">
        <v>178154300</v>
      </c>
      <c r="E45" s="10">
        <v>12.81</v>
      </c>
      <c r="F45" s="10">
        <v>0.27352799999999999</v>
      </c>
      <c r="G45">
        <v>9381.3469999999998</v>
      </c>
    </row>
    <row r="46" spans="1:7" x14ac:dyDescent="0.4">
      <c r="D46" s="2"/>
    </row>
    <row r="48" spans="1:7" x14ac:dyDescent="0.4">
      <c r="D48" s="2"/>
    </row>
    <row r="51" spans="4:4" x14ac:dyDescent="0.4">
      <c r="D51" s="2"/>
    </row>
    <row r="52" spans="4:4" x14ac:dyDescent="0.4">
      <c r="D52" s="2"/>
    </row>
    <row r="53" spans="4:4" x14ac:dyDescent="0.4">
      <c r="D53" s="2"/>
    </row>
    <row r="54" spans="4:4" x14ac:dyDescent="0.4">
      <c r="D54" s="2"/>
    </row>
    <row r="55" spans="4:4" x14ac:dyDescent="0.4">
      <c r="D55" s="2"/>
    </row>
    <row r="56" spans="4:4" x14ac:dyDescent="0.4">
      <c r="D56" s="2"/>
    </row>
    <row r="57" spans="4:4" x14ac:dyDescent="0.4">
      <c r="D57" s="2"/>
    </row>
    <row r="58" spans="4:4" x14ac:dyDescent="0.4">
      <c r="D58" s="2"/>
    </row>
    <row r="60" spans="4:4" x14ac:dyDescent="0.4">
      <c r="D60" s="2"/>
    </row>
    <row r="61" spans="4:4" x14ac:dyDescent="0.4">
      <c r="D61" s="3"/>
    </row>
    <row r="62" spans="4:4" x14ac:dyDescent="0.4">
      <c r="D62" s="3"/>
    </row>
    <row r="63" spans="4:4" x14ac:dyDescent="0.4">
      <c r="D63" s="3"/>
    </row>
    <row r="64" spans="4:4" x14ac:dyDescent="0.4">
      <c r="D64" s="3"/>
    </row>
    <row r="65" spans="4:4" x14ac:dyDescent="0.4">
      <c r="D65" s="3"/>
    </row>
    <row r="66" spans="4:4" x14ac:dyDescent="0.4">
      <c r="D66" s="3"/>
    </row>
    <row r="67" spans="4:4" x14ac:dyDescent="0.4">
      <c r="D67" s="3"/>
    </row>
    <row r="68" spans="4:4" x14ac:dyDescent="0.4">
      <c r="D68" s="3"/>
    </row>
    <row r="70" spans="4:4" x14ac:dyDescent="0.4">
      <c r="D70" s="3"/>
    </row>
  </sheetData>
  <conditionalFormatting sqref="A2:A3">
    <cfRule type="duplicateValues" dxfId="25" priority="4"/>
  </conditionalFormatting>
  <conditionalFormatting sqref="A2:A45">
    <cfRule type="duplicateValues" dxfId="24" priority="1"/>
    <cfRule type="duplicateValues" dxfId="23" priority="2"/>
    <cfRule type="duplicateValues" dxfId="22" priority="3"/>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5"/>
  <sheetViews>
    <sheetView topLeftCell="F1" zoomScale="68" workbookViewId="0">
      <selection activeCell="H1" sqref="H1"/>
    </sheetView>
  </sheetViews>
  <sheetFormatPr defaultRowHeight="14.6" x14ac:dyDescent="0.4"/>
  <cols>
    <col min="2" max="3" width="9.3046875" bestFit="1" customWidth="1"/>
    <col min="4" max="4" width="10.15234375" bestFit="1" customWidth="1"/>
    <col min="5" max="5" width="12.53515625" customWidth="1"/>
    <col min="6" max="8" width="9.3046875" bestFit="1" customWidth="1"/>
  </cols>
  <sheetData>
    <row r="1" spans="1:8" x14ac:dyDescent="0.4">
      <c r="A1" s="20" t="s">
        <v>0</v>
      </c>
      <c r="B1" s="20" t="s">
        <v>1</v>
      </c>
      <c r="C1" s="20" t="s">
        <v>2</v>
      </c>
      <c r="D1" s="20" t="s">
        <v>3</v>
      </c>
      <c r="E1" s="20" t="s">
        <v>4</v>
      </c>
      <c r="F1" s="20" t="s">
        <v>5</v>
      </c>
      <c r="G1" s="20" t="s">
        <v>6</v>
      </c>
      <c r="H1" s="20" t="s">
        <v>140</v>
      </c>
    </row>
    <row r="2" spans="1:8" x14ac:dyDescent="0.4">
      <c r="A2" t="s">
        <v>7</v>
      </c>
      <c r="B2">
        <v>1201555.2</v>
      </c>
      <c r="C2">
        <v>18.982710000000001</v>
      </c>
      <c r="D2">
        <v>9691539</v>
      </c>
      <c r="E2">
        <v>5.67</v>
      </c>
      <c r="F2">
        <v>0.49429400000000001</v>
      </c>
      <c r="G2">
        <v>10192.529</v>
      </c>
      <c r="H2">
        <v>0.42768266226059198</v>
      </c>
    </row>
    <row r="3" spans="1:8" x14ac:dyDescent="0.4">
      <c r="A3" t="s">
        <v>8</v>
      </c>
      <c r="B3">
        <v>1064272.8</v>
      </c>
      <c r="C3">
        <v>40.585369999999998</v>
      </c>
      <c r="D3">
        <v>8801828</v>
      </c>
      <c r="E3">
        <v>9.2100000000000009</v>
      </c>
      <c r="F3">
        <v>0.43820999999999999</v>
      </c>
      <c r="G3">
        <v>10076.352000000001</v>
      </c>
      <c r="H3">
        <v>0.39276826996591629</v>
      </c>
    </row>
    <row r="4" spans="1:8" x14ac:dyDescent="0.4">
      <c r="A4" t="s">
        <v>9</v>
      </c>
      <c r="B4">
        <v>3972916</v>
      </c>
      <c r="C4">
        <v>13.628450000000001</v>
      </c>
      <c r="D4">
        <v>75462370</v>
      </c>
      <c r="E4">
        <v>16.690000000000001</v>
      </c>
      <c r="F4">
        <v>0.70839799999999997</v>
      </c>
      <c r="G4">
        <v>41255.714999999997</v>
      </c>
      <c r="H4">
        <v>0.57461345781661122</v>
      </c>
    </row>
    <row r="5" spans="1:8" x14ac:dyDescent="0.4">
      <c r="A5" t="s">
        <v>10</v>
      </c>
      <c r="B5">
        <v>3567308.2</v>
      </c>
      <c r="C5">
        <v>29.667269999999998</v>
      </c>
      <c r="D5">
        <v>60206376</v>
      </c>
      <c r="E5">
        <v>4.99</v>
      </c>
      <c r="F5">
        <v>0.30621900000000002</v>
      </c>
      <c r="G5">
        <v>17463.758000000002</v>
      </c>
      <c r="H5">
        <v>0.2155674838549414</v>
      </c>
    </row>
    <row r="6" spans="1:8" x14ac:dyDescent="0.4">
      <c r="A6" t="s">
        <v>11</v>
      </c>
      <c r="B6">
        <v>28768802</v>
      </c>
      <c r="C6">
        <v>16.49174</v>
      </c>
      <c r="D6">
        <v>111591896</v>
      </c>
      <c r="E6">
        <v>20.64</v>
      </c>
      <c r="F6">
        <v>0.38143300000000002</v>
      </c>
      <c r="G6">
        <v>18122.863000000001</v>
      </c>
      <c r="H6">
        <v>0.44073084533257911</v>
      </c>
    </row>
    <row r="7" spans="1:8" x14ac:dyDescent="0.4">
      <c r="A7" t="s">
        <v>12</v>
      </c>
      <c r="B7">
        <v>9323679</v>
      </c>
      <c r="C7">
        <v>13.27885</v>
      </c>
      <c r="D7">
        <v>126559150</v>
      </c>
      <c r="E7">
        <v>12.69</v>
      </c>
      <c r="F7">
        <v>0.71222556000000004</v>
      </c>
      <c r="G7">
        <v>39160.324000000001</v>
      </c>
      <c r="H7">
        <v>0.45985758468718901</v>
      </c>
    </row>
    <row r="8" spans="1:8" x14ac:dyDescent="0.4">
      <c r="A8" t="s">
        <v>13</v>
      </c>
      <c r="B8">
        <v>3847866</v>
      </c>
      <c r="C8">
        <v>20.41206</v>
      </c>
      <c r="D8">
        <v>59439004</v>
      </c>
      <c r="E8">
        <v>13.63</v>
      </c>
      <c r="F8">
        <v>0.54433600000000004</v>
      </c>
      <c r="G8">
        <v>16186.409</v>
      </c>
      <c r="H8">
        <v>0.3441392704772866</v>
      </c>
    </row>
    <row r="9" spans="1:8" x14ac:dyDescent="0.4">
      <c r="A9" t="s">
        <v>14</v>
      </c>
      <c r="B9">
        <v>42385420</v>
      </c>
      <c r="C9">
        <v>7.1536400000000002</v>
      </c>
      <c r="D9">
        <v>857682560</v>
      </c>
      <c r="E9">
        <v>9.98</v>
      </c>
      <c r="F9">
        <v>0.78090999999999999</v>
      </c>
      <c r="G9">
        <v>43761.527000000002</v>
      </c>
      <c r="H9">
        <v>0.88660787679983422</v>
      </c>
    </row>
    <row r="10" spans="1:8" x14ac:dyDescent="0.4">
      <c r="A10" t="s">
        <v>15</v>
      </c>
      <c r="B10">
        <v>2343456</v>
      </c>
      <c r="C10">
        <v>18.646889999999999</v>
      </c>
      <c r="D10">
        <v>23499504</v>
      </c>
      <c r="E10">
        <v>12.73</v>
      </c>
      <c r="F10">
        <v>0.60917900000000003</v>
      </c>
      <c r="G10">
        <v>20025.754000000001</v>
      </c>
      <c r="H10">
        <v>0.39339624442223298</v>
      </c>
    </row>
    <row r="11" spans="1:8" x14ac:dyDescent="0.4">
      <c r="A11" t="s">
        <v>16</v>
      </c>
      <c r="B11">
        <v>342181.62</v>
      </c>
      <c r="C11">
        <v>15.126860000000001</v>
      </c>
      <c r="D11">
        <v>7644012</v>
      </c>
      <c r="E11">
        <v>4.26</v>
      </c>
      <c r="F11">
        <v>0.68421100000000001</v>
      </c>
      <c r="G11">
        <v>25081.504000000001</v>
      </c>
      <c r="H11">
        <v>0.64923884738332882</v>
      </c>
    </row>
    <row r="12" spans="1:8" x14ac:dyDescent="0.4">
      <c r="A12" t="s">
        <v>17</v>
      </c>
      <c r="B12">
        <v>6440591.5</v>
      </c>
      <c r="C12">
        <v>17.515899999999998</v>
      </c>
      <c r="D12">
        <v>119829860</v>
      </c>
      <c r="E12">
        <v>23.92</v>
      </c>
      <c r="F12">
        <v>0.68402399999999997</v>
      </c>
      <c r="G12">
        <v>28437.603999999999</v>
      </c>
      <c r="H12">
        <v>0.64083236728493465</v>
      </c>
    </row>
    <row r="13" spans="1:8" x14ac:dyDescent="0.4">
      <c r="A13" t="s">
        <v>18</v>
      </c>
      <c r="B13">
        <v>5416969.5</v>
      </c>
      <c r="C13">
        <v>10.725849999999999</v>
      </c>
      <c r="D13">
        <v>52924036</v>
      </c>
      <c r="E13">
        <v>12.4</v>
      </c>
      <c r="F13">
        <v>0.77490199999999998</v>
      </c>
      <c r="G13">
        <v>44940.887000000002</v>
      </c>
      <c r="H13">
        <v>0.62630516585776808</v>
      </c>
    </row>
    <row r="14" spans="1:8" x14ac:dyDescent="0.4">
      <c r="A14" t="s">
        <v>19</v>
      </c>
      <c r="B14">
        <v>1773684.6</v>
      </c>
      <c r="C14">
        <v>6.7455800000000004</v>
      </c>
      <c r="D14">
        <v>21289860</v>
      </c>
      <c r="E14">
        <v>13.91</v>
      </c>
      <c r="F14">
        <v>0.71085799999999999</v>
      </c>
      <c r="G14">
        <v>24473.66</v>
      </c>
      <c r="H14">
        <v>0.99917506727604621</v>
      </c>
    </row>
    <row r="15" spans="1:8" x14ac:dyDescent="0.4">
      <c r="A15" s="19" t="s">
        <v>20</v>
      </c>
      <c r="B15" s="19">
        <v>7348762</v>
      </c>
      <c r="C15" s="19">
        <v>5.8262299999999998</v>
      </c>
      <c r="D15" s="19">
        <v>88243340</v>
      </c>
      <c r="E15" s="19">
        <v>14.68</v>
      </c>
      <c r="F15" s="19">
        <v>0.71167100000000005</v>
      </c>
      <c r="G15" s="19">
        <v>36986.699999999997</v>
      </c>
      <c r="H15" s="19">
        <v>1</v>
      </c>
    </row>
    <row r="16" spans="1:8" x14ac:dyDescent="0.4">
      <c r="A16" t="s">
        <v>21</v>
      </c>
      <c r="B16">
        <v>39493550</v>
      </c>
      <c r="C16">
        <v>12.20689</v>
      </c>
      <c r="D16">
        <v>404057660</v>
      </c>
      <c r="E16">
        <v>10.43</v>
      </c>
      <c r="F16">
        <v>0.73974150000000005</v>
      </c>
      <c r="G16">
        <v>37077.89</v>
      </c>
      <c r="H16">
        <v>0.49432893882832613</v>
      </c>
    </row>
    <row r="17" spans="1:8" x14ac:dyDescent="0.4">
      <c r="A17" t="s">
        <v>22</v>
      </c>
      <c r="B17">
        <v>1816214.2</v>
      </c>
      <c r="C17">
        <v>22.569389999999999</v>
      </c>
      <c r="D17">
        <v>9192436</v>
      </c>
      <c r="E17">
        <v>8.86</v>
      </c>
      <c r="F17">
        <v>0.55564499999999994</v>
      </c>
      <c r="G17">
        <v>10629.593999999999</v>
      </c>
      <c r="H17">
        <v>0.40613963612968318</v>
      </c>
    </row>
    <row r="18" spans="1:8" x14ac:dyDescent="0.4">
      <c r="A18" t="s">
        <v>23</v>
      </c>
      <c r="B18">
        <v>39767790</v>
      </c>
      <c r="C18">
        <v>12.644629999999999</v>
      </c>
      <c r="D18">
        <v>894566400</v>
      </c>
      <c r="E18">
        <v>20.350000000000001</v>
      </c>
      <c r="F18">
        <v>0.78161800000000003</v>
      </c>
      <c r="G18">
        <v>44405.167999999998</v>
      </c>
      <c r="H18">
        <v>0.59987792954294572</v>
      </c>
    </row>
    <row r="19" spans="1:8" x14ac:dyDescent="0.4">
      <c r="A19" t="s">
        <v>24</v>
      </c>
      <c r="B19">
        <v>4579830</v>
      </c>
      <c r="C19">
        <v>16.445550000000001</v>
      </c>
      <c r="D19">
        <v>84390630</v>
      </c>
      <c r="E19">
        <v>8.2899999999999991</v>
      </c>
      <c r="F19">
        <v>0.64623299999999995</v>
      </c>
      <c r="G19">
        <v>22696.203000000001</v>
      </c>
      <c r="H19">
        <v>0.38368021106025801</v>
      </c>
    </row>
    <row r="20" spans="1:8" x14ac:dyDescent="0.4">
      <c r="A20" t="s">
        <v>25</v>
      </c>
      <c r="B20">
        <v>6969051</v>
      </c>
      <c r="C20">
        <v>17.161010000000001</v>
      </c>
      <c r="D20">
        <v>57328544</v>
      </c>
      <c r="E20">
        <v>20.22</v>
      </c>
      <c r="F20">
        <v>0.56093099999999996</v>
      </c>
      <c r="G20">
        <v>22993.375</v>
      </c>
      <c r="H20">
        <v>0.49623209256431311</v>
      </c>
    </row>
    <row r="21" spans="1:8" x14ac:dyDescent="0.4">
      <c r="A21" s="19" t="s">
        <v>26</v>
      </c>
      <c r="B21" s="19">
        <v>367652.34</v>
      </c>
      <c r="C21" s="19">
        <v>6.4300100000000002</v>
      </c>
      <c r="D21" s="19">
        <v>4808067.5</v>
      </c>
      <c r="E21" s="19">
        <v>10.73</v>
      </c>
      <c r="F21" s="19">
        <v>0.76290400000000003</v>
      </c>
      <c r="G21" s="19">
        <v>39756.527000000002</v>
      </c>
      <c r="H21" s="19">
        <v>1</v>
      </c>
    </row>
    <row r="22" spans="1:8" x14ac:dyDescent="0.4">
      <c r="A22" s="19" t="s">
        <v>27</v>
      </c>
      <c r="B22" s="19">
        <v>8910458</v>
      </c>
      <c r="C22" s="19">
        <v>9.1618700000000004</v>
      </c>
      <c r="D22" s="19">
        <v>63314196</v>
      </c>
      <c r="E22" s="19">
        <v>34.75</v>
      </c>
      <c r="F22" s="19">
        <v>0.75645300000000004</v>
      </c>
      <c r="G22" s="19">
        <v>53196.597999999998</v>
      </c>
      <c r="H22" s="19">
        <v>1</v>
      </c>
    </row>
    <row r="23" spans="1:8" x14ac:dyDescent="0.4">
      <c r="A23" t="s">
        <v>28</v>
      </c>
      <c r="B23">
        <v>2627072.7999999998</v>
      </c>
      <c r="C23">
        <v>21.654979999999998</v>
      </c>
      <c r="D23">
        <v>77176136</v>
      </c>
      <c r="E23">
        <v>12.78</v>
      </c>
      <c r="F23">
        <v>0.73618799999999995</v>
      </c>
      <c r="G23">
        <v>31050.407999999999</v>
      </c>
      <c r="H23">
        <v>0.3406606976774782</v>
      </c>
    </row>
    <row r="24" spans="1:8" x14ac:dyDescent="0.4">
      <c r="A24" t="s">
        <v>29</v>
      </c>
      <c r="B24">
        <v>16488255</v>
      </c>
      <c r="C24">
        <v>17.27739</v>
      </c>
      <c r="D24">
        <v>397890080</v>
      </c>
      <c r="E24">
        <v>14.4</v>
      </c>
      <c r="F24">
        <v>0.70633299999999999</v>
      </c>
      <c r="G24">
        <v>33620.741999999998</v>
      </c>
      <c r="H24">
        <v>0.35129756014052388</v>
      </c>
    </row>
    <row r="25" spans="1:8" x14ac:dyDescent="0.4">
      <c r="A25" t="s">
        <v>30</v>
      </c>
      <c r="B25">
        <v>11072543</v>
      </c>
      <c r="C25">
        <v>30.831779999999998</v>
      </c>
      <c r="D25">
        <v>369324380</v>
      </c>
      <c r="E25">
        <v>10.28</v>
      </c>
      <c r="F25">
        <v>0.37193799999999999</v>
      </c>
      <c r="G25">
        <v>23782.562000000002</v>
      </c>
      <c r="H25">
        <v>0.20326912808262479</v>
      </c>
    </row>
    <row r="26" spans="1:8" x14ac:dyDescent="0.4">
      <c r="A26" t="s">
        <v>31</v>
      </c>
      <c r="B26">
        <v>1701691.8</v>
      </c>
      <c r="C26">
        <v>44.577559999999998</v>
      </c>
      <c r="D26">
        <v>20268746</v>
      </c>
      <c r="E26">
        <v>14.05</v>
      </c>
      <c r="F26">
        <v>0.41885</v>
      </c>
      <c r="G26">
        <v>4772.76</v>
      </c>
      <c r="H26">
        <v>0.52126746913535882</v>
      </c>
    </row>
    <row r="27" spans="1:8" x14ac:dyDescent="0.4">
      <c r="A27" t="s">
        <v>32</v>
      </c>
      <c r="B27">
        <v>2201798.7999999998</v>
      </c>
      <c r="C27">
        <v>13.399559999999999</v>
      </c>
      <c r="D27">
        <v>15552152</v>
      </c>
      <c r="E27">
        <v>10.47</v>
      </c>
      <c r="F27">
        <v>0.62699199999999999</v>
      </c>
      <c r="G27">
        <v>22179.42</v>
      </c>
      <c r="H27">
        <v>0.47844539737082981</v>
      </c>
    </row>
    <row r="28" spans="1:8" x14ac:dyDescent="0.4">
      <c r="A28" t="s">
        <v>33</v>
      </c>
      <c r="B28">
        <v>6299640</v>
      </c>
      <c r="C28">
        <v>11.437580000000001</v>
      </c>
      <c r="D28">
        <v>25367098</v>
      </c>
      <c r="E28">
        <v>17.21</v>
      </c>
      <c r="F28">
        <v>0.66436799999999996</v>
      </c>
      <c r="G28">
        <v>23968.848000000002</v>
      </c>
      <c r="H28">
        <v>0.77021975827661515</v>
      </c>
    </row>
    <row r="29" spans="1:8" x14ac:dyDescent="0.4">
      <c r="A29" s="19" t="s">
        <v>34</v>
      </c>
      <c r="B29" s="19">
        <v>49154.36</v>
      </c>
      <c r="C29" s="19">
        <v>13.853</v>
      </c>
      <c r="D29" s="19">
        <v>1892776</v>
      </c>
      <c r="E29" s="19">
        <v>7.45</v>
      </c>
      <c r="F29" s="19">
        <v>0.67796100000000004</v>
      </c>
      <c r="G29" s="19">
        <v>28906.48</v>
      </c>
      <c r="H29" s="19">
        <v>1</v>
      </c>
    </row>
    <row r="30" spans="1:8" x14ac:dyDescent="0.4">
      <c r="A30" t="s">
        <v>35</v>
      </c>
      <c r="B30">
        <v>12815863</v>
      </c>
      <c r="C30">
        <v>12.585039999999999</v>
      </c>
      <c r="D30">
        <v>209520130</v>
      </c>
      <c r="E30">
        <v>10.8</v>
      </c>
      <c r="F30">
        <v>0.74280800000000002</v>
      </c>
      <c r="G30">
        <v>44912.663999999997</v>
      </c>
      <c r="H30">
        <v>0.4871025393045294</v>
      </c>
    </row>
    <row r="31" spans="1:8" x14ac:dyDescent="0.4">
      <c r="A31" s="19" t="s">
        <v>36</v>
      </c>
      <c r="B31" s="19">
        <v>4156485.5</v>
      </c>
      <c r="C31" s="19">
        <v>6.8202999999999996</v>
      </c>
      <c r="D31" s="19">
        <v>75014970</v>
      </c>
      <c r="E31" s="19">
        <v>6.96</v>
      </c>
      <c r="F31" s="19">
        <v>0.80465399999999998</v>
      </c>
      <c r="G31" s="19">
        <v>82983.990000000005</v>
      </c>
      <c r="H31" s="19">
        <v>1</v>
      </c>
    </row>
    <row r="32" spans="1:8" x14ac:dyDescent="0.4">
      <c r="A32" t="s">
        <v>37</v>
      </c>
      <c r="B32">
        <v>27035148</v>
      </c>
      <c r="C32">
        <v>22.587910000000001</v>
      </c>
      <c r="D32">
        <v>353246460</v>
      </c>
      <c r="E32">
        <v>17.87</v>
      </c>
      <c r="F32">
        <v>0.65846499999999997</v>
      </c>
      <c r="G32">
        <v>24285.14</v>
      </c>
      <c r="H32">
        <v>0.28140757394828392</v>
      </c>
    </row>
    <row r="33" spans="1:8" x14ac:dyDescent="0.4">
      <c r="A33" t="s">
        <v>38</v>
      </c>
      <c r="B33">
        <v>3354506.2</v>
      </c>
      <c r="C33">
        <v>8.6753400000000003</v>
      </c>
      <c r="D33">
        <v>63353732</v>
      </c>
      <c r="E33">
        <v>12.14</v>
      </c>
      <c r="F33">
        <v>0.62483999999999995</v>
      </c>
      <c r="G33">
        <v>24983.701000000001</v>
      </c>
      <c r="H33">
        <v>0.72560318641831945</v>
      </c>
    </row>
    <row r="34" spans="1:8" x14ac:dyDescent="0.4">
      <c r="A34" t="s">
        <v>39</v>
      </c>
      <c r="B34">
        <v>9536401</v>
      </c>
      <c r="C34">
        <v>15.41342</v>
      </c>
      <c r="D34">
        <v>100242660</v>
      </c>
      <c r="E34">
        <v>20.21</v>
      </c>
      <c r="F34">
        <v>0.53965700000000005</v>
      </c>
      <c r="G34">
        <v>19162.186000000002</v>
      </c>
      <c r="H34">
        <v>0.4771805277750667</v>
      </c>
    </row>
    <row r="35" spans="1:8" x14ac:dyDescent="0.4">
      <c r="A35" t="s">
        <v>40</v>
      </c>
      <c r="B35">
        <v>3466474</v>
      </c>
      <c r="C35">
        <v>25.332979999999999</v>
      </c>
      <c r="D35">
        <v>45359156</v>
      </c>
      <c r="E35">
        <v>14.77</v>
      </c>
      <c r="F35">
        <v>0.47647099999999998</v>
      </c>
      <c r="G35">
        <v>13013.853999999999</v>
      </c>
      <c r="H35">
        <v>0.35304050123207648</v>
      </c>
    </row>
    <row r="36" spans="1:8" x14ac:dyDescent="0.4">
      <c r="A36" t="s">
        <v>41</v>
      </c>
      <c r="B36">
        <v>3237510.5</v>
      </c>
      <c r="C36">
        <v>19.049779999999998</v>
      </c>
      <c r="D36">
        <v>62561244</v>
      </c>
      <c r="E36">
        <v>19.59</v>
      </c>
      <c r="F36">
        <v>0.65545699999999996</v>
      </c>
      <c r="G36">
        <v>24647.719000000001</v>
      </c>
      <c r="H36">
        <v>0.65191386333548906</v>
      </c>
    </row>
    <row r="37" spans="1:8" x14ac:dyDescent="0.4">
      <c r="A37" s="19" t="s">
        <v>42</v>
      </c>
      <c r="B37" s="19">
        <v>794894.94</v>
      </c>
      <c r="C37" s="19">
        <v>17.55293</v>
      </c>
      <c r="D37" s="19">
        <v>20779568</v>
      </c>
      <c r="E37" s="19">
        <v>19.940000000000001</v>
      </c>
      <c r="F37" s="19">
        <v>0.72378500000000001</v>
      </c>
      <c r="G37" s="19">
        <v>26186.248</v>
      </c>
      <c r="H37" s="19">
        <v>1</v>
      </c>
    </row>
    <row r="38" spans="1:8" x14ac:dyDescent="0.4">
      <c r="A38" t="s">
        <v>43</v>
      </c>
      <c r="B38">
        <v>21216588</v>
      </c>
      <c r="C38">
        <v>11.11022</v>
      </c>
      <c r="D38">
        <v>324089500</v>
      </c>
      <c r="E38">
        <v>11.29</v>
      </c>
      <c r="F38">
        <v>0.66597989999999996</v>
      </c>
      <c r="G38">
        <v>32057.098000000002</v>
      </c>
      <c r="H38">
        <v>0.5244027571011195</v>
      </c>
    </row>
    <row r="39" spans="1:8" x14ac:dyDescent="0.4">
      <c r="A39" s="19" t="s">
        <v>44</v>
      </c>
      <c r="B39" s="19">
        <v>9205298</v>
      </c>
      <c r="C39" s="19">
        <v>6.3726599999999998</v>
      </c>
      <c r="D39" s="19">
        <v>75343464</v>
      </c>
      <c r="E39" s="19">
        <v>13.61</v>
      </c>
      <c r="F39" s="19">
        <v>0.78541799999999995</v>
      </c>
      <c r="G39" s="19">
        <v>43782.457000000002</v>
      </c>
      <c r="H39" s="19">
        <v>1</v>
      </c>
    </row>
    <row r="40" spans="1:8" x14ac:dyDescent="0.4">
      <c r="A40" s="19" t="s">
        <v>45</v>
      </c>
      <c r="B40" s="19">
        <v>2282562.7999999998</v>
      </c>
      <c r="C40" s="19">
        <v>10.81907</v>
      </c>
      <c r="D40" s="19">
        <v>45879580</v>
      </c>
      <c r="E40" s="19">
        <v>17.12</v>
      </c>
      <c r="F40" s="19">
        <v>0.84757000000000005</v>
      </c>
      <c r="G40" s="19">
        <v>60070.866999999998</v>
      </c>
      <c r="H40" s="19">
        <v>1</v>
      </c>
    </row>
    <row r="41" spans="1:8" x14ac:dyDescent="0.4">
      <c r="A41" t="s">
        <v>46</v>
      </c>
      <c r="B41">
        <v>1821999.2</v>
      </c>
      <c r="C41">
        <v>63.279150000000001</v>
      </c>
      <c r="D41">
        <v>16845876</v>
      </c>
      <c r="E41">
        <v>10.08</v>
      </c>
      <c r="F41">
        <v>0.24573400000000001</v>
      </c>
      <c r="G41">
        <v>3784.3434999999999</v>
      </c>
      <c r="H41">
        <v>0.2511203365325067</v>
      </c>
    </row>
    <row r="42" spans="1:8" x14ac:dyDescent="0.4">
      <c r="A42" t="s">
        <v>47</v>
      </c>
      <c r="B42">
        <v>23037010</v>
      </c>
      <c r="C42">
        <v>14.66802</v>
      </c>
      <c r="D42">
        <v>312214500</v>
      </c>
      <c r="E42">
        <v>11.9</v>
      </c>
      <c r="F42">
        <v>0.41184900000000002</v>
      </c>
      <c r="G42">
        <v>8959.1740000000009</v>
      </c>
      <c r="H42">
        <v>0.39720630323656497</v>
      </c>
    </row>
    <row r="43" spans="1:8" x14ac:dyDescent="0.4">
      <c r="A43" t="s">
        <v>48</v>
      </c>
      <c r="B43">
        <v>30488942</v>
      </c>
      <c r="C43">
        <v>11.082789999999999</v>
      </c>
      <c r="D43">
        <v>517176200</v>
      </c>
      <c r="E43">
        <v>9.2899999999999991</v>
      </c>
      <c r="F43">
        <v>0.78159500000000004</v>
      </c>
      <c r="G43">
        <v>37101.226999999999</v>
      </c>
      <c r="H43">
        <v>0.57244912141938331</v>
      </c>
    </row>
    <row r="44" spans="1:8" x14ac:dyDescent="0.4">
      <c r="A44" t="s">
        <v>49</v>
      </c>
      <c r="B44">
        <v>251828430</v>
      </c>
      <c r="C44">
        <v>8.3103599999999993</v>
      </c>
      <c r="D44">
        <v>6248505300</v>
      </c>
      <c r="E44">
        <v>11.7</v>
      </c>
      <c r="F44">
        <v>0.77281093999999995</v>
      </c>
      <c r="G44">
        <v>52808.152000000002</v>
      </c>
      <c r="H44">
        <v>0.76558570800033254</v>
      </c>
    </row>
    <row r="45" spans="1:8" x14ac:dyDescent="0.4">
      <c r="A45" t="s">
        <v>50</v>
      </c>
      <c r="B45">
        <v>12312490</v>
      </c>
      <c r="C45">
        <v>48.461559999999999</v>
      </c>
      <c r="D45">
        <v>178154300</v>
      </c>
      <c r="E45">
        <v>12.81</v>
      </c>
      <c r="F45">
        <v>0.27352799999999999</v>
      </c>
      <c r="G45">
        <v>9381.3469999999998</v>
      </c>
      <c r="H45">
        <v>0.13538395856296839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D3130-DDD7-4A30-98D4-A9EE4C2ADC70}">
  <dimension ref="A1:G26"/>
  <sheetViews>
    <sheetView workbookViewId="0">
      <selection activeCell="B28" sqref="B28:D28"/>
    </sheetView>
  </sheetViews>
  <sheetFormatPr defaultColWidth="9.15234375" defaultRowHeight="14.6" x14ac:dyDescent="0.4"/>
  <cols>
    <col min="2" max="2" width="29.3046875" bestFit="1" customWidth="1"/>
    <col min="3" max="3" width="23.3828125" bestFit="1" customWidth="1"/>
    <col min="4" max="4" width="38.3046875" bestFit="1" customWidth="1"/>
    <col min="5" max="5" width="9.15234375" bestFit="1" customWidth="1"/>
    <col min="6" max="6" width="13.15234375" customWidth="1"/>
    <col min="7" max="7" width="18.69140625" customWidth="1"/>
  </cols>
  <sheetData>
    <row r="1" spans="1:7" x14ac:dyDescent="0.4">
      <c r="A1" s="18" t="s">
        <v>0</v>
      </c>
      <c r="B1" s="18" t="s">
        <v>1</v>
      </c>
      <c r="C1" s="18" t="s">
        <v>2</v>
      </c>
      <c r="D1" s="18" t="s">
        <v>3</v>
      </c>
      <c r="E1" s="18" t="s">
        <v>4</v>
      </c>
      <c r="F1" s="18" t="s">
        <v>5</v>
      </c>
      <c r="G1" s="18" t="s">
        <v>6</v>
      </c>
    </row>
    <row r="2" spans="1:7" x14ac:dyDescent="0.4">
      <c r="A2" s="21" t="s">
        <v>7</v>
      </c>
      <c r="B2">
        <f>1201555.2/28748</f>
        <v>41.796131904828158</v>
      </c>
      <c r="C2">
        <v>18.982710000000001</v>
      </c>
      <c r="D2">
        <f>9691539/28748</f>
        <v>337.12046055377766</v>
      </c>
      <c r="E2" s="21">
        <v>5.67</v>
      </c>
      <c r="F2" s="21">
        <v>0.49429400000000001</v>
      </c>
      <c r="G2">
        <v>10192.529</v>
      </c>
    </row>
    <row r="3" spans="1:7" x14ac:dyDescent="0.4">
      <c r="A3" s="21" t="s">
        <v>11</v>
      </c>
      <c r="B3">
        <f>28768802/207560</f>
        <v>138.60475043360955</v>
      </c>
      <c r="C3">
        <v>16.49174</v>
      </c>
      <c r="D3">
        <f>111591896/207560</f>
        <v>537.63680863364812</v>
      </c>
      <c r="E3" s="21">
        <v>20.64</v>
      </c>
      <c r="F3" s="21">
        <v>0.38143300000000002</v>
      </c>
      <c r="G3">
        <v>18122.863000000001</v>
      </c>
    </row>
    <row r="4" spans="1:7" x14ac:dyDescent="0.4">
      <c r="A4" s="21" t="s">
        <v>12</v>
      </c>
      <c r="B4">
        <f>9323679/30688</f>
        <v>303.82165667361835</v>
      </c>
      <c r="C4">
        <v>13.27885</v>
      </c>
      <c r="D4">
        <f>126559150/30688</f>
        <v>4124.0598931178311</v>
      </c>
      <c r="E4" s="21">
        <v>12.69</v>
      </c>
      <c r="F4" s="5">
        <v>0.71222556000000004</v>
      </c>
      <c r="G4">
        <v>39160.324000000001</v>
      </c>
    </row>
    <row r="5" spans="1:7" x14ac:dyDescent="0.4">
      <c r="A5" s="21" t="s">
        <v>13</v>
      </c>
      <c r="B5">
        <f>3847866/110994</f>
        <v>34.66733336937132</v>
      </c>
      <c r="C5">
        <v>20.41206</v>
      </c>
      <c r="D5">
        <f>59439004/110994</f>
        <v>535.51546930464713</v>
      </c>
      <c r="E5" s="21">
        <v>13.63</v>
      </c>
      <c r="F5" s="21">
        <v>0.54433600000000004</v>
      </c>
      <c r="G5">
        <v>16186.409</v>
      </c>
    </row>
    <row r="6" spans="1:7" x14ac:dyDescent="0.4">
      <c r="A6" s="21" t="s">
        <v>14</v>
      </c>
      <c r="B6">
        <f>42385420/9985000</f>
        <v>4.2449093640460687</v>
      </c>
      <c r="C6">
        <v>7.1536400000000002</v>
      </c>
      <c r="D6">
        <f>857682560/9985000</f>
        <v>85.897101652478725</v>
      </c>
      <c r="E6" s="21">
        <v>9.98</v>
      </c>
      <c r="F6" s="21">
        <v>0.78090999999999999</v>
      </c>
      <c r="G6">
        <v>43761.527000000002</v>
      </c>
    </row>
    <row r="7" spans="1:7" x14ac:dyDescent="0.4">
      <c r="A7" s="21" t="s">
        <v>16</v>
      </c>
      <c r="B7">
        <f>342181.62/9250</f>
        <v>36.992607567567568</v>
      </c>
      <c r="C7">
        <v>15.126860000000001</v>
      </c>
      <c r="D7">
        <f>7644012/9250</f>
        <v>826.37967567567568</v>
      </c>
      <c r="E7" s="21">
        <v>4.26</v>
      </c>
      <c r="F7" s="21">
        <v>0.68421100000000001</v>
      </c>
      <c r="G7">
        <v>25081.504000000001</v>
      </c>
    </row>
    <row r="8" spans="1:7" x14ac:dyDescent="0.4">
      <c r="A8" s="21" t="s">
        <v>17</v>
      </c>
      <c r="B8">
        <f>6440591.5/78866</f>
        <v>81.664995054903258</v>
      </c>
      <c r="C8">
        <v>17.515899999999998</v>
      </c>
      <c r="D8">
        <f>119829860/78866</f>
        <v>1519.4108995004185</v>
      </c>
      <c r="E8" s="21">
        <v>23.92</v>
      </c>
      <c r="F8" s="21">
        <v>0.68402399999999997</v>
      </c>
      <c r="G8">
        <v>28437.603999999999</v>
      </c>
    </row>
    <row r="9" spans="1:7" x14ac:dyDescent="0.4">
      <c r="A9" s="21" t="s">
        <v>20</v>
      </c>
      <c r="B9">
        <f>7348762/338462</f>
        <v>21.712221756061243</v>
      </c>
      <c r="C9">
        <v>5.8262299999999998</v>
      </c>
      <c r="D9">
        <f>88243340/338462</f>
        <v>260.7186035655406</v>
      </c>
      <c r="E9" s="21">
        <v>14.68</v>
      </c>
      <c r="F9" s="21">
        <v>0.71167100000000005</v>
      </c>
      <c r="G9">
        <v>36986.699999999997</v>
      </c>
    </row>
    <row r="10" spans="1:7" x14ac:dyDescent="0.4">
      <c r="A10" s="21" t="s">
        <v>21</v>
      </c>
      <c r="B10">
        <f>39493550/551695</f>
        <v>71.585840002175118</v>
      </c>
      <c r="C10">
        <v>12.20689</v>
      </c>
      <c r="D10">
        <f>404057660/551695</f>
        <v>732.39318826525528</v>
      </c>
      <c r="E10" s="21">
        <v>10.43</v>
      </c>
      <c r="F10" s="5">
        <v>0.73974150000000005</v>
      </c>
      <c r="G10">
        <v>37077.89</v>
      </c>
    </row>
    <row r="11" spans="1:7" x14ac:dyDescent="0.4">
      <c r="A11" s="21" t="s">
        <v>24</v>
      </c>
      <c r="B11">
        <f>4579830/131957</f>
        <v>34.706987882416243</v>
      </c>
      <c r="C11">
        <v>16.445550000000001</v>
      </c>
      <c r="D11">
        <f>84390630/131957</f>
        <v>639.53128670703336</v>
      </c>
      <c r="E11" s="21">
        <v>8.2899999999999991</v>
      </c>
      <c r="F11" s="21">
        <v>0.64623299999999995</v>
      </c>
      <c r="G11">
        <v>22696.203000000001</v>
      </c>
    </row>
    <row r="12" spans="1:7" x14ac:dyDescent="0.4">
      <c r="A12" s="21" t="s">
        <v>22</v>
      </c>
      <c r="B12">
        <f>1816214.2/69700</f>
        <v>26.057592539454806</v>
      </c>
      <c r="C12">
        <v>22.569389999999999</v>
      </c>
      <c r="D12">
        <f>9192436/69700</f>
        <v>131.88573888091821</v>
      </c>
      <c r="E12" s="21">
        <v>8.86</v>
      </c>
      <c r="F12" s="21">
        <v>0.55564499999999994</v>
      </c>
      <c r="G12">
        <v>10629.593999999999</v>
      </c>
    </row>
    <row r="13" spans="1:7" x14ac:dyDescent="0.4">
      <c r="A13" s="21" t="s">
        <v>26</v>
      </c>
      <c r="B13">
        <f>367652.34/103000</f>
        <v>3.5694401941747573</v>
      </c>
      <c r="C13">
        <v>6.4300100000000002</v>
      </c>
      <c r="D13">
        <f>4808067.5/103000</f>
        <v>46.680266990291265</v>
      </c>
      <c r="E13" s="21">
        <v>10.73</v>
      </c>
      <c r="F13" s="21">
        <v>0.76290400000000003</v>
      </c>
      <c r="G13">
        <v>39756.527000000002</v>
      </c>
    </row>
    <row r="14" spans="1:7" x14ac:dyDescent="0.4">
      <c r="A14" s="21" t="s">
        <v>28</v>
      </c>
      <c r="B14">
        <f>2627072.8/20770</f>
        <v>126.48400577756378</v>
      </c>
      <c r="C14">
        <v>21.654979999999998</v>
      </c>
      <c r="D14">
        <f>77176136/20770</f>
        <v>3715.7504092441022</v>
      </c>
      <c r="E14" s="21">
        <v>12.78</v>
      </c>
      <c r="F14" s="21">
        <v>0.73618799999999995</v>
      </c>
      <c r="G14">
        <v>31050.407999999999</v>
      </c>
    </row>
    <row r="15" spans="1:7" x14ac:dyDescent="0.4">
      <c r="A15" s="21" t="s">
        <v>29</v>
      </c>
      <c r="B15">
        <f>16488255/302073</f>
        <v>54.583676793357895</v>
      </c>
      <c r="C15">
        <v>17.27739</v>
      </c>
      <c r="D15">
        <f>397890080/302073</f>
        <v>1317.1984255461427</v>
      </c>
      <c r="E15" s="21">
        <v>14.4</v>
      </c>
      <c r="F15" s="21">
        <v>0.70633299999999999</v>
      </c>
      <c r="G15">
        <v>33620.741999999998</v>
      </c>
    </row>
    <row r="16" spans="1:7" x14ac:dyDescent="0.4">
      <c r="A16" s="21" t="s">
        <v>30</v>
      </c>
      <c r="B16">
        <f>11072543/2725000</f>
        <v>4.0633185321100918</v>
      </c>
      <c r="C16">
        <v>30.831779999999998</v>
      </c>
      <c r="D16">
        <f>369324380/2725000</f>
        <v>135.53188256880733</v>
      </c>
      <c r="E16" s="21">
        <v>10.28</v>
      </c>
      <c r="F16" s="21">
        <v>0.37193799999999999</v>
      </c>
      <c r="G16">
        <v>23782.562000000002</v>
      </c>
    </row>
    <row r="17" spans="1:7" x14ac:dyDescent="0.4">
      <c r="A17" s="21" t="s">
        <v>33</v>
      </c>
      <c r="B17">
        <f>6299640/65300</f>
        <v>96.472281776416537</v>
      </c>
      <c r="C17">
        <v>11.437580000000001</v>
      </c>
      <c r="D17">
        <f>25367098/65300</f>
        <v>388.47010719754979</v>
      </c>
      <c r="E17" s="21">
        <v>17.21</v>
      </c>
      <c r="F17" s="21">
        <v>0.66436799999999996</v>
      </c>
      <c r="G17">
        <v>23968.848000000002</v>
      </c>
    </row>
    <row r="18" spans="1:7" x14ac:dyDescent="0.4">
      <c r="A18" s="21" t="s">
        <v>34</v>
      </c>
      <c r="B18">
        <f>49154.36/316</f>
        <v>155.55177215189875</v>
      </c>
      <c r="C18">
        <v>13.853</v>
      </c>
      <c r="D18">
        <f>1892776/316</f>
        <v>5989.7974683544307</v>
      </c>
      <c r="E18" s="21">
        <v>7.45</v>
      </c>
      <c r="F18" s="21">
        <v>0.67796100000000004</v>
      </c>
      <c r="G18">
        <v>28906.48</v>
      </c>
    </row>
    <row r="19" spans="1:7" x14ac:dyDescent="0.4">
      <c r="A19" s="21" t="s">
        <v>35</v>
      </c>
      <c r="B19">
        <f>12815863/41850</f>
        <v>306.23328554360813</v>
      </c>
      <c r="C19">
        <v>12.585039999999999</v>
      </c>
      <c r="D19">
        <f>209520130/41850</f>
        <v>5006.4547192353648</v>
      </c>
      <c r="E19" s="21">
        <v>10.8</v>
      </c>
      <c r="F19" s="21">
        <v>0.74280800000000002</v>
      </c>
      <c r="G19">
        <v>44912.663999999997</v>
      </c>
    </row>
    <row r="20" spans="1:7" x14ac:dyDescent="0.4">
      <c r="A20" s="21" t="s">
        <v>38</v>
      </c>
      <c r="B20">
        <f>3354506.2/92152</f>
        <v>36.401881673756407</v>
      </c>
      <c r="C20">
        <v>8.6753400000000003</v>
      </c>
      <c r="D20">
        <f>63353732/92152</f>
        <v>687.49166594322423</v>
      </c>
      <c r="E20" s="21">
        <v>12.14</v>
      </c>
      <c r="F20" s="21">
        <v>0.62483999999999995</v>
      </c>
      <c r="G20">
        <v>24983.701000000001</v>
      </c>
    </row>
    <row r="21" spans="1:7" x14ac:dyDescent="0.4">
      <c r="A21" s="21" t="s">
        <v>40</v>
      </c>
      <c r="B21">
        <f>3466474/88499</f>
        <v>39.169640334919038</v>
      </c>
      <c r="C21">
        <v>25.332979999999999</v>
      </c>
      <c r="D21">
        <f>45359156/88499</f>
        <v>512.53862755511364</v>
      </c>
      <c r="E21" s="21">
        <v>14.77</v>
      </c>
      <c r="F21" s="21">
        <v>0.47647099999999998</v>
      </c>
      <c r="G21">
        <v>13013.853999999999</v>
      </c>
    </row>
    <row r="22" spans="1:7" x14ac:dyDescent="0.4">
      <c r="A22" s="21" t="s">
        <v>41</v>
      </c>
      <c r="B22">
        <f>3237510.5/49035</f>
        <v>66.024482512491076</v>
      </c>
      <c r="C22">
        <v>19.049779999999998</v>
      </c>
      <c r="D22">
        <f>62561244/49035</f>
        <v>1275.8487610890181</v>
      </c>
      <c r="E22" s="21">
        <v>19.59</v>
      </c>
      <c r="F22" s="21">
        <v>0.65545699999999996</v>
      </c>
      <c r="G22">
        <v>24647.719000000001</v>
      </c>
    </row>
    <row r="23" spans="1:7" x14ac:dyDescent="0.4">
      <c r="A23" s="21" t="s">
        <v>43</v>
      </c>
      <c r="B23">
        <f>21216588/506030</f>
        <v>41.927529988340609</v>
      </c>
      <c r="C23">
        <v>11.11022</v>
      </c>
      <c r="D23">
        <f>324089500/506030</f>
        <v>640.45511135703418</v>
      </c>
      <c r="E23" s="21">
        <v>11.29</v>
      </c>
      <c r="F23" s="5">
        <v>0.66597989999999996</v>
      </c>
      <c r="G23" s="4">
        <v>32057.098000000002</v>
      </c>
    </row>
    <row r="24" spans="1:7" x14ac:dyDescent="0.4">
      <c r="A24" s="21" t="s">
        <v>48</v>
      </c>
      <c r="B24">
        <f>30488942/243610</f>
        <v>125.15472271253233</v>
      </c>
      <c r="C24">
        <v>11.082789999999999</v>
      </c>
      <c r="D24">
        <f>517176200/243610</f>
        <v>2122.9678584622961</v>
      </c>
      <c r="E24" s="21">
        <v>9.2899999999999991</v>
      </c>
      <c r="F24" s="21">
        <v>0.78159500000000004</v>
      </c>
      <c r="G24">
        <v>37101.226999999999</v>
      </c>
    </row>
    <row r="25" spans="1:7" x14ac:dyDescent="0.4">
      <c r="A25" s="21" t="s">
        <v>49</v>
      </c>
      <c r="B25">
        <f>251828430/9831510</f>
        <v>25.614420368793805</v>
      </c>
      <c r="C25">
        <v>8.3103599999999993</v>
      </c>
      <c r="D25">
        <f>6248505300/9831510</f>
        <v>635.55906468080696</v>
      </c>
      <c r="E25" s="21">
        <v>11.7</v>
      </c>
      <c r="F25" s="6">
        <v>0.77281093999999995</v>
      </c>
      <c r="G25">
        <v>52808.152000000002</v>
      </c>
    </row>
    <row r="26" spans="1:7" x14ac:dyDescent="0.4">
      <c r="A26" s="21" t="s">
        <v>50</v>
      </c>
      <c r="B26">
        <f>12312490/447400</f>
        <v>27.52009387572642</v>
      </c>
      <c r="C26">
        <v>48.461559999999999</v>
      </c>
      <c r="D26">
        <f>178154300/447400</f>
        <v>398.19915064818952</v>
      </c>
      <c r="E26" s="21">
        <v>12.81</v>
      </c>
      <c r="F26" s="21">
        <v>0.27352799999999999</v>
      </c>
      <c r="G26">
        <v>9381.3469999999998</v>
      </c>
    </row>
  </sheetData>
  <conditionalFormatting sqref="A2">
    <cfRule type="duplicateValues" dxfId="21" priority="4"/>
  </conditionalFormatting>
  <conditionalFormatting sqref="A2:A10 A12:A26">
    <cfRule type="duplicateValues" dxfId="20" priority="5"/>
    <cfRule type="duplicateValues" dxfId="19" priority="6"/>
    <cfRule type="duplicateValues" dxfId="18" priority="7"/>
  </conditionalFormatting>
  <conditionalFormatting sqref="A11">
    <cfRule type="duplicateValues" dxfId="17" priority="1"/>
    <cfRule type="duplicateValues" dxfId="16" priority="2"/>
    <cfRule type="duplicateValues" dxfId="15"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workbookViewId="0">
      <selection activeCell="G26" sqref="G26"/>
    </sheetView>
  </sheetViews>
  <sheetFormatPr defaultRowHeight="14.6" x14ac:dyDescent="0.4"/>
  <cols>
    <col min="2" max="2" width="29.3046875" bestFit="1" customWidth="1"/>
    <col min="4" max="4" width="38.3046875" bestFit="1" customWidth="1"/>
    <col min="6" max="6" width="13.15234375" customWidth="1"/>
    <col min="7" max="7" width="18.69140625" customWidth="1"/>
  </cols>
  <sheetData>
    <row r="1" spans="1:7" x14ac:dyDescent="0.4">
      <c r="A1" s="18" t="s">
        <v>0</v>
      </c>
      <c r="B1" s="18" t="s">
        <v>1</v>
      </c>
      <c r="C1" s="18" t="s">
        <v>2</v>
      </c>
      <c r="D1" s="18" t="s">
        <v>3</v>
      </c>
      <c r="E1" s="18" t="s">
        <v>4</v>
      </c>
      <c r="F1" s="18" t="s">
        <v>5</v>
      </c>
      <c r="G1" s="18" t="s">
        <v>6</v>
      </c>
    </row>
    <row r="2" spans="1:7" x14ac:dyDescent="0.4">
      <c r="A2" s="10" t="s">
        <v>7</v>
      </c>
      <c r="B2">
        <v>1201555.2</v>
      </c>
      <c r="C2">
        <v>18.982710000000001</v>
      </c>
      <c r="D2">
        <v>9691539</v>
      </c>
      <c r="E2" s="10">
        <v>5.67</v>
      </c>
      <c r="F2" s="10">
        <v>0.49429400000000001</v>
      </c>
      <c r="G2">
        <v>10192.529</v>
      </c>
    </row>
    <row r="3" spans="1:7" x14ac:dyDescent="0.4">
      <c r="A3" s="10" t="s">
        <v>11</v>
      </c>
      <c r="B3">
        <v>28768802</v>
      </c>
      <c r="C3">
        <v>16.49174</v>
      </c>
      <c r="D3">
        <v>111591896</v>
      </c>
      <c r="E3" s="10">
        <v>20.64</v>
      </c>
      <c r="F3" s="10">
        <v>0.38143300000000002</v>
      </c>
      <c r="G3">
        <v>18122.863000000001</v>
      </c>
    </row>
    <row r="4" spans="1:7" x14ac:dyDescent="0.4">
      <c r="A4" s="10" t="s">
        <v>12</v>
      </c>
      <c r="B4">
        <v>9323679</v>
      </c>
      <c r="C4">
        <v>13.27885</v>
      </c>
      <c r="D4">
        <v>126559150</v>
      </c>
      <c r="E4" s="10">
        <v>12.69</v>
      </c>
      <c r="F4" s="5">
        <v>0.71222556000000004</v>
      </c>
      <c r="G4">
        <v>39160.324000000001</v>
      </c>
    </row>
    <row r="5" spans="1:7" x14ac:dyDescent="0.4">
      <c r="A5" s="10" t="s">
        <v>13</v>
      </c>
      <c r="B5">
        <v>3847866</v>
      </c>
      <c r="C5">
        <v>20.41206</v>
      </c>
      <c r="D5">
        <v>59439004</v>
      </c>
      <c r="E5" s="10">
        <v>13.63</v>
      </c>
      <c r="F5" s="10">
        <v>0.54433600000000004</v>
      </c>
      <c r="G5">
        <v>16186.409</v>
      </c>
    </row>
    <row r="6" spans="1:7" x14ac:dyDescent="0.4">
      <c r="A6" s="10" t="s">
        <v>14</v>
      </c>
      <c r="B6">
        <v>42385420</v>
      </c>
      <c r="C6">
        <v>7.1536400000000002</v>
      </c>
      <c r="D6">
        <v>857682560</v>
      </c>
      <c r="E6" s="10">
        <v>9.98</v>
      </c>
      <c r="F6" s="10">
        <v>0.78090999999999999</v>
      </c>
      <c r="G6">
        <v>43761.527000000002</v>
      </c>
    </row>
    <row r="7" spans="1:7" x14ac:dyDescent="0.4">
      <c r="A7" s="10" t="s">
        <v>16</v>
      </c>
      <c r="B7">
        <v>342181.62</v>
      </c>
      <c r="C7">
        <v>15.126860000000001</v>
      </c>
      <c r="D7">
        <v>7644012</v>
      </c>
      <c r="E7" s="10">
        <v>4.26</v>
      </c>
      <c r="F7" s="10">
        <v>0.68421100000000001</v>
      </c>
      <c r="G7">
        <v>25081.504000000001</v>
      </c>
    </row>
    <row r="8" spans="1:7" x14ac:dyDescent="0.4">
      <c r="A8" s="10" t="s">
        <v>17</v>
      </c>
      <c r="B8">
        <v>6440591.5</v>
      </c>
      <c r="C8">
        <v>17.515899999999998</v>
      </c>
      <c r="D8">
        <v>119829860</v>
      </c>
      <c r="E8" s="10">
        <v>23.92</v>
      </c>
      <c r="F8" s="10">
        <v>0.68402399999999997</v>
      </c>
      <c r="G8">
        <v>28437.603999999999</v>
      </c>
    </row>
    <row r="9" spans="1:7" x14ac:dyDescent="0.4">
      <c r="A9" s="10" t="s">
        <v>20</v>
      </c>
      <c r="B9">
        <v>7348762</v>
      </c>
      <c r="C9">
        <v>5.8262299999999998</v>
      </c>
      <c r="D9">
        <v>88243340</v>
      </c>
      <c r="E9" s="10">
        <v>14.68</v>
      </c>
      <c r="F9" s="10">
        <v>0.71167100000000005</v>
      </c>
      <c r="G9">
        <v>36986.699999999997</v>
      </c>
    </row>
    <row r="10" spans="1:7" x14ac:dyDescent="0.4">
      <c r="A10" s="10" t="s">
        <v>21</v>
      </c>
      <c r="B10">
        <v>39493550</v>
      </c>
      <c r="C10">
        <v>12.20689</v>
      </c>
      <c r="D10">
        <v>404057660</v>
      </c>
      <c r="E10" s="10">
        <v>10.43</v>
      </c>
      <c r="F10" s="5">
        <v>0.73974150000000005</v>
      </c>
      <c r="G10">
        <v>37077.89</v>
      </c>
    </row>
    <row r="11" spans="1:7" x14ac:dyDescent="0.4">
      <c r="A11" s="10" t="s">
        <v>24</v>
      </c>
      <c r="B11">
        <v>4579830</v>
      </c>
      <c r="C11">
        <v>16.445550000000001</v>
      </c>
      <c r="D11">
        <v>84390630</v>
      </c>
      <c r="E11" s="10">
        <v>8.2899999999999991</v>
      </c>
      <c r="F11" s="10">
        <v>0.64623299999999995</v>
      </c>
      <c r="G11">
        <v>22696.203000000001</v>
      </c>
    </row>
    <row r="12" spans="1:7" x14ac:dyDescent="0.4">
      <c r="A12" s="10" t="s">
        <v>22</v>
      </c>
      <c r="B12">
        <v>1816214.2</v>
      </c>
      <c r="C12">
        <v>22.569389999999999</v>
      </c>
      <c r="D12">
        <v>9192436</v>
      </c>
      <c r="E12" s="10">
        <v>8.86</v>
      </c>
      <c r="F12" s="10">
        <v>0.55564499999999994</v>
      </c>
      <c r="G12">
        <v>10629.593999999999</v>
      </c>
    </row>
    <row r="13" spans="1:7" x14ac:dyDescent="0.4">
      <c r="A13" s="10" t="s">
        <v>26</v>
      </c>
      <c r="B13">
        <v>367652.34</v>
      </c>
      <c r="C13">
        <v>6.4300100000000002</v>
      </c>
      <c r="D13">
        <v>4808067.5</v>
      </c>
      <c r="E13" s="10">
        <v>10.73</v>
      </c>
      <c r="F13" s="10">
        <v>0.76290400000000003</v>
      </c>
      <c r="G13">
        <v>39756.527000000002</v>
      </c>
    </row>
    <row r="14" spans="1:7" x14ac:dyDescent="0.4">
      <c r="A14" s="10" t="s">
        <v>28</v>
      </c>
      <c r="B14">
        <v>2627072.7999999998</v>
      </c>
      <c r="C14">
        <v>21.654979999999998</v>
      </c>
      <c r="D14">
        <v>77176136</v>
      </c>
      <c r="E14" s="10">
        <v>12.78</v>
      </c>
      <c r="F14" s="10">
        <v>0.73618799999999995</v>
      </c>
      <c r="G14">
        <v>31050.407999999999</v>
      </c>
    </row>
    <row r="15" spans="1:7" x14ac:dyDescent="0.4">
      <c r="A15" s="10" t="s">
        <v>29</v>
      </c>
      <c r="B15">
        <v>16488255</v>
      </c>
      <c r="C15">
        <v>17.27739</v>
      </c>
      <c r="D15">
        <v>397890080</v>
      </c>
      <c r="E15" s="10">
        <v>14.4</v>
      </c>
      <c r="F15" s="10">
        <v>0.70633299999999999</v>
      </c>
      <c r="G15">
        <v>33620.741999999998</v>
      </c>
    </row>
    <row r="16" spans="1:7" x14ac:dyDescent="0.4">
      <c r="A16" s="10" t="s">
        <v>30</v>
      </c>
      <c r="B16">
        <v>11072543</v>
      </c>
      <c r="C16">
        <v>30.831779999999998</v>
      </c>
      <c r="D16">
        <v>369324380</v>
      </c>
      <c r="E16" s="10">
        <v>10.28</v>
      </c>
      <c r="F16" s="10">
        <v>0.37193799999999999</v>
      </c>
      <c r="G16">
        <v>23782.562000000002</v>
      </c>
    </row>
    <row r="17" spans="1:7" x14ac:dyDescent="0.4">
      <c r="A17" s="10" t="s">
        <v>33</v>
      </c>
      <c r="B17">
        <v>6299640</v>
      </c>
      <c r="C17">
        <v>11.437580000000001</v>
      </c>
      <c r="D17">
        <v>25367098</v>
      </c>
      <c r="E17" s="10">
        <v>17.21</v>
      </c>
      <c r="F17" s="10">
        <v>0.66436799999999996</v>
      </c>
      <c r="G17">
        <v>23968.848000000002</v>
      </c>
    </row>
    <row r="18" spans="1:7" x14ac:dyDescent="0.4">
      <c r="A18" s="10" t="s">
        <v>34</v>
      </c>
      <c r="B18">
        <v>49154.36</v>
      </c>
      <c r="C18">
        <v>13.853</v>
      </c>
      <c r="D18">
        <v>1892776</v>
      </c>
      <c r="E18" s="10">
        <v>7.45</v>
      </c>
      <c r="F18" s="10">
        <v>0.67796100000000004</v>
      </c>
      <c r="G18">
        <v>28906.48</v>
      </c>
    </row>
    <row r="19" spans="1:7" x14ac:dyDescent="0.4">
      <c r="A19" s="10" t="s">
        <v>35</v>
      </c>
      <c r="B19">
        <v>12815863</v>
      </c>
      <c r="C19">
        <v>12.585039999999999</v>
      </c>
      <c r="D19">
        <v>209520130</v>
      </c>
      <c r="E19" s="10">
        <v>10.8</v>
      </c>
      <c r="F19" s="10">
        <v>0.74280800000000002</v>
      </c>
      <c r="G19">
        <v>44912.663999999997</v>
      </c>
    </row>
    <row r="20" spans="1:7" x14ac:dyDescent="0.4">
      <c r="A20" s="10" t="s">
        <v>38</v>
      </c>
      <c r="B20">
        <v>3354506.2</v>
      </c>
      <c r="C20">
        <v>8.6753400000000003</v>
      </c>
      <c r="D20">
        <v>63353732</v>
      </c>
      <c r="E20" s="10">
        <v>12.14</v>
      </c>
      <c r="F20" s="10">
        <v>0.62483999999999995</v>
      </c>
      <c r="G20">
        <v>24983.701000000001</v>
      </c>
    </row>
    <row r="21" spans="1:7" x14ac:dyDescent="0.4">
      <c r="A21" s="10" t="s">
        <v>40</v>
      </c>
      <c r="B21">
        <v>3466474</v>
      </c>
      <c r="C21">
        <v>25.332979999999999</v>
      </c>
      <c r="D21">
        <v>45359156</v>
      </c>
      <c r="E21" s="10">
        <v>14.77</v>
      </c>
      <c r="F21" s="10">
        <v>0.47647099999999998</v>
      </c>
      <c r="G21">
        <v>13013.853999999999</v>
      </c>
    </row>
    <row r="22" spans="1:7" x14ac:dyDescent="0.4">
      <c r="A22" s="10" t="s">
        <v>41</v>
      </c>
      <c r="B22">
        <v>3237510.5</v>
      </c>
      <c r="C22">
        <v>19.049779999999998</v>
      </c>
      <c r="D22">
        <v>62561244</v>
      </c>
      <c r="E22" s="10">
        <v>19.59</v>
      </c>
      <c r="F22" s="10">
        <v>0.65545699999999996</v>
      </c>
      <c r="G22">
        <v>24647.719000000001</v>
      </c>
    </row>
    <row r="23" spans="1:7" x14ac:dyDescent="0.4">
      <c r="A23" s="10" t="s">
        <v>43</v>
      </c>
      <c r="B23">
        <v>21216588</v>
      </c>
      <c r="C23">
        <v>11.11022</v>
      </c>
      <c r="D23">
        <v>324089500</v>
      </c>
      <c r="E23" s="10">
        <v>11.29</v>
      </c>
      <c r="F23" s="5">
        <v>0.66597989999999996</v>
      </c>
      <c r="G23" s="4">
        <v>32057.098000000002</v>
      </c>
    </row>
    <row r="24" spans="1:7" x14ac:dyDescent="0.4">
      <c r="A24" s="10" t="s">
        <v>48</v>
      </c>
      <c r="B24">
        <v>30488942</v>
      </c>
      <c r="C24">
        <v>11.082789999999999</v>
      </c>
      <c r="D24">
        <v>517176200</v>
      </c>
      <c r="E24" s="10">
        <v>9.2899999999999991</v>
      </c>
      <c r="F24" s="10">
        <v>0.78159500000000004</v>
      </c>
      <c r="G24">
        <v>37101.226999999999</v>
      </c>
    </row>
    <row r="25" spans="1:7" x14ac:dyDescent="0.4">
      <c r="A25" s="10" t="s">
        <v>49</v>
      </c>
      <c r="B25">
        <v>251828430</v>
      </c>
      <c r="C25">
        <v>8.3103599999999993</v>
      </c>
      <c r="D25">
        <v>6248505300</v>
      </c>
      <c r="E25" s="10">
        <v>11.7</v>
      </c>
      <c r="F25" s="6">
        <v>0.77281093999999995</v>
      </c>
      <c r="G25">
        <v>52808.152000000002</v>
      </c>
    </row>
    <row r="26" spans="1:7" x14ac:dyDescent="0.4">
      <c r="A26" s="10" t="s">
        <v>50</v>
      </c>
      <c r="B26">
        <v>12312490</v>
      </c>
      <c r="C26">
        <v>48.461559999999999</v>
      </c>
      <c r="D26">
        <v>178154300</v>
      </c>
      <c r="E26" s="10">
        <v>12.81</v>
      </c>
      <c r="F26" s="10">
        <v>0.27352799999999999</v>
      </c>
      <c r="G26">
        <v>9381.3469999999998</v>
      </c>
    </row>
  </sheetData>
  <conditionalFormatting sqref="A2">
    <cfRule type="duplicateValues" dxfId="14" priority="52"/>
  </conditionalFormatting>
  <conditionalFormatting sqref="A2:A10 A12:A26">
    <cfRule type="duplicateValues" dxfId="13" priority="71"/>
    <cfRule type="duplicateValues" dxfId="12" priority="72"/>
    <cfRule type="duplicateValues" dxfId="11" priority="73"/>
  </conditionalFormatting>
  <conditionalFormatting sqref="A11">
    <cfRule type="duplicateValues" dxfId="10" priority="1"/>
    <cfRule type="duplicateValues" dxfId="9" priority="2"/>
    <cfRule type="duplicateValues" dxfId="8"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5"/>
  <sheetViews>
    <sheetView zoomScale="83" workbookViewId="0">
      <selection activeCell="J2" sqref="J2"/>
    </sheetView>
  </sheetViews>
  <sheetFormatPr defaultRowHeight="14.6" x14ac:dyDescent="0.4"/>
  <sheetData>
    <row r="1" spans="1:8" x14ac:dyDescent="0.4">
      <c r="A1" s="20" t="s">
        <v>0</v>
      </c>
      <c r="B1" s="20" t="s">
        <v>1</v>
      </c>
      <c r="C1" s="20" t="s">
        <v>2</v>
      </c>
      <c r="D1" s="20" t="s">
        <v>3</v>
      </c>
      <c r="E1" s="20" t="s">
        <v>4</v>
      </c>
      <c r="F1" s="20" t="s">
        <v>5</v>
      </c>
      <c r="G1" s="20" t="s">
        <v>6</v>
      </c>
      <c r="H1" s="20" t="s">
        <v>140</v>
      </c>
    </row>
    <row r="2" spans="1:8" x14ac:dyDescent="0.4">
      <c r="A2" t="s">
        <v>7</v>
      </c>
      <c r="B2">
        <v>1201555.2</v>
      </c>
      <c r="C2">
        <v>18.982710000000001</v>
      </c>
      <c r="D2">
        <v>9691539</v>
      </c>
      <c r="E2">
        <v>5.67</v>
      </c>
      <c r="F2">
        <v>0.49429400000000001</v>
      </c>
      <c r="G2">
        <v>10192.529</v>
      </c>
      <c r="H2">
        <v>0.28430107158499818</v>
      </c>
    </row>
    <row r="3" spans="1:8" x14ac:dyDescent="0.4">
      <c r="A3" t="s">
        <v>8</v>
      </c>
      <c r="B3">
        <v>1064272.8</v>
      </c>
      <c r="C3">
        <v>40.585369999999998</v>
      </c>
      <c r="D3">
        <v>8801828</v>
      </c>
      <c r="E3">
        <v>9.2100000000000009</v>
      </c>
      <c r="F3">
        <v>0.43820999999999999</v>
      </c>
      <c r="G3">
        <v>10076.352000000001</v>
      </c>
      <c r="H3">
        <v>0.33066500277044503</v>
      </c>
    </row>
    <row r="4" spans="1:8" x14ac:dyDescent="0.4">
      <c r="A4" t="s">
        <v>9</v>
      </c>
      <c r="B4">
        <v>3972916</v>
      </c>
      <c r="C4">
        <v>13.628450000000001</v>
      </c>
      <c r="D4">
        <v>75462370</v>
      </c>
      <c r="E4">
        <v>16.690000000000001</v>
      </c>
      <c r="F4">
        <v>0.70839799999999997</v>
      </c>
      <c r="G4">
        <v>41255.714999999997</v>
      </c>
      <c r="H4">
        <v>0.55350533446805694</v>
      </c>
    </row>
    <row r="5" spans="1:8" x14ac:dyDescent="0.4">
      <c r="A5" t="s">
        <v>10</v>
      </c>
      <c r="B5">
        <v>3567308.2</v>
      </c>
      <c r="C5">
        <v>29.667269999999998</v>
      </c>
      <c r="D5">
        <v>60206376</v>
      </c>
      <c r="E5">
        <v>4.99</v>
      </c>
      <c r="F5">
        <v>0.30621900000000002</v>
      </c>
      <c r="G5">
        <v>17463.758000000002</v>
      </c>
      <c r="H5">
        <v>9.4175692135190239E-2</v>
      </c>
    </row>
    <row r="6" spans="1:8" x14ac:dyDescent="0.4">
      <c r="A6" t="s">
        <v>11</v>
      </c>
      <c r="B6">
        <v>28768802</v>
      </c>
      <c r="C6">
        <v>16.49174</v>
      </c>
      <c r="D6">
        <v>111591896</v>
      </c>
      <c r="E6">
        <v>20.64</v>
      </c>
      <c r="F6">
        <v>0.38143300000000002</v>
      </c>
      <c r="G6">
        <v>18122.863000000001</v>
      </c>
      <c r="H6">
        <v>0.33434631368029349</v>
      </c>
    </row>
    <row r="7" spans="1:8" x14ac:dyDescent="0.4">
      <c r="A7" t="s">
        <v>12</v>
      </c>
      <c r="B7">
        <v>9323679</v>
      </c>
      <c r="C7">
        <v>13.27885</v>
      </c>
      <c r="D7">
        <v>126559150</v>
      </c>
      <c r="E7">
        <v>12.69</v>
      </c>
      <c r="F7">
        <v>0.71222556000000004</v>
      </c>
      <c r="G7">
        <v>39160.324000000001</v>
      </c>
      <c r="H7">
        <v>0.45030144374253661</v>
      </c>
    </row>
    <row r="8" spans="1:8" x14ac:dyDescent="0.4">
      <c r="A8" t="s">
        <v>13</v>
      </c>
      <c r="B8">
        <v>3847866</v>
      </c>
      <c r="C8">
        <v>20.41206</v>
      </c>
      <c r="D8">
        <v>59439004</v>
      </c>
      <c r="E8">
        <v>13.63</v>
      </c>
      <c r="F8">
        <v>0.54433600000000004</v>
      </c>
      <c r="G8">
        <v>16186.409</v>
      </c>
      <c r="H8">
        <v>0.33835525779446329</v>
      </c>
    </row>
    <row r="9" spans="1:8" x14ac:dyDescent="0.4">
      <c r="A9" t="s">
        <v>14</v>
      </c>
      <c r="B9">
        <v>42385420</v>
      </c>
      <c r="C9">
        <v>7.1536400000000002</v>
      </c>
      <c r="D9">
        <v>857682560</v>
      </c>
      <c r="E9">
        <v>9.98</v>
      </c>
      <c r="F9">
        <v>0.78090999999999999</v>
      </c>
      <c r="G9">
        <v>43761.527000000002</v>
      </c>
      <c r="H9">
        <v>0.88596083943934567</v>
      </c>
    </row>
    <row r="10" spans="1:8" x14ac:dyDescent="0.4">
      <c r="A10" t="s">
        <v>15</v>
      </c>
      <c r="B10">
        <v>2343456</v>
      </c>
      <c r="C10">
        <v>18.646889999999999</v>
      </c>
      <c r="D10">
        <v>23499504</v>
      </c>
      <c r="E10">
        <v>12.73</v>
      </c>
      <c r="F10">
        <v>0.60917900000000003</v>
      </c>
      <c r="G10">
        <v>20025.754000000001</v>
      </c>
      <c r="H10">
        <v>0.3735252207208547</v>
      </c>
    </row>
    <row r="11" spans="1:8" x14ac:dyDescent="0.4">
      <c r="A11" t="s">
        <v>16</v>
      </c>
      <c r="B11">
        <v>342181.62</v>
      </c>
      <c r="C11">
        <v>15.126860000000001</v>
      </c>
      <c r="D11">
        <v>7644012</v>
      </c>
      <c r="E11">
        <v>4.26</v>
      </c>
      <c r="F11">
        <v>0.68421100000000001</v>
      </c>
      <c r="G11">
        <v>25081.504000000001</v>
      </c>
      <c r="H11">
        <v>0.61347314805429587</v>
      </c>
    </row>
    <row r="12" spans="1:8" x14ac:dyDescent="0.4">
      <c r="A12" t="s">
        <v>17</v>
      </c>
      <c r="B12">
        <v>6440591.5</v>
      </c>
      <c r="C12">
        <v>17.515899999999998</v>
      </c>
      <c r="D12">
        <v>119829860</v>
      </c>
      <c r="E12">
        <v>23.92</v>
      </c>
      <c r="F12">
        <v>0.68402399999999997</v>
      </c>
      <c r="G12">
        <v>28437.603999999999</v>
      </c>
      <c r="H12">
        <v>0.57155285274330114</v>
      </c>
    </row>
    <row r="13" spans="1:8" x14ac:dyDescent="0.4">
      <c r="A13" t="s">
        <v>18</v>
      </c>
      <c r="B13">
        <v>5416969.5</v>
      </c>
      <c r="C13">
        <v>10.725849999999999</v>
      </c>
      <c r="D13">
        <v>52924036</v>
      </c>
      <c r="E13">
        <v>12.4</v>
      </c>
      <c r="F13">
        <v>0.77490199999999998</v>
      </c>
      <c r="G13">
        <v>44940.887000000002</v>
      </c>
      <c r="H13">
        <v>0.61493713376471248</v>
      </c>
    </row>
    <row r="14" spans="1:8" x14ac:dyDescent="0.4">
      <c r="A14" t="s">
        <v>19</v>
      </c>
      <c r="B14">
        <v>1773684.6</v>
      </c>
      <c r="C14">
        <v>6.7455800000000004</v>
      </c>
      <c r="D14">
        <v>21289860</v>
      </c>
      <c r="E14">
        <v>13.91</v>
      </c>
      <c r="F14">
        <v>0.71085799999999999</v>
      </c>
      <c r="G14">
        <v>24473.66</v>
      </c>
      <c r="H14">
        <v>0.96080440680750312</v>
      </c>
    </row>
    <row r="15" spans="1:8" x14ac:dyDescent="0.4">
      <c r="A15" s="18" t="s">
        <v>20</v>
      </c>
      <c r="B15">
        <v>7348762</v>
      </c>
      <c r="C15">
        <v>5.8262299999999998</v>
      </c>
      <c r="D15">
        <v>88243340</v>
      </c>
      <c r="E15">
        <v>14.68</v>
      </c>
      <c r="F15">
        <v>0.71167100000000005</v>
      </c>
      <c r="G15">
        <v>36986.699999999997</v>
      </c>
      <c r="H15">
        <v>1</v>
      </c>
    </row>
    <row r="16" spans="1:8" x14ac:dyDescent="0.4">
      <c r="A16" t="s">
        <v>21</v>
      </c>
      <c r="B16">
        <v>39493550</v>
      </c>
      <c r="C16">
        <v>12.20689</v>
      </c>
      <c r="D16">
        <v>404057660</v>
      </c>
      <c r="E16">
        <v>10.43</v>
      </c>
      <c r="F16">
        <v>0.73974150000000005</v>
      </c>
      <c r="G16">
        <v>37077.89</v>
      </c>
      <c r="H16">
        <v>0.49169393427136149</v>
      </c>
    </row>
    <row r="17" spans="1:8" x14ac:dyDescent="0.4">
      <c r="A17" t="s">
        <v>22</v>
      </c>
      <c r="B17">
        <v>1816214.2</v>
      </c>
      <c r="C17">
        <v>22.569389999999999</v>
      </c>
      <c r="D17">
        <v>9192436</v>
      </c>
      <c r="E17">
        <v>8.86</v>
      </c>
      <c r="F17">
        <v>0.55564499999999994</v>
      </c>
      <c r="G17">
        <v>10629.593999999999</v>
      </c>
      <c r="H17">
        <v>0.37794701764830441</v>
      </c>
    </row>
    <row r="18" spans="1:8" x14ac:dyDescent="0.4">
      <c r="A18" t="s">
        <v>23</v>
      </c>
      <c r="B18">
        <v>39767790</v>
      </c>
      <c r="C18">
        <v>12.644629999999999</v>
      </c>
      <c r="D18">
        <v>894566400</v>
      </c>
      <c r="E18">
        <v>20.350000000000001</v>
      </c>
      <c r="F18">
        <v>0.78161800000000003</v>
      </c>
      <c r="G18">
        <v>44405.167999999998</v>
      </c>
      <c r="H18">
        <v>0.55993240952064971</v>
      </c>
    </row>
    <row r="19" spans="1:8" x14ac:dyDescent="0.4">
      <c r="A19" t="s">
        <v>24</v>
      </c>
      <c r="B19">
        <v>4579830</v>
      </c>
      <c r="C19">
        <v>16.445550000000001</v>
      </c>
      <c r="D19">
        <v>84390630</v>
      </c>
      <c r="E19">
        <v>8.2899999999999991</v>
      </c>
      <c r="F19">
        <v>0.64623299999999995</v>
      </c>
      <c r="G19">
        <v>22696.203000000001</v>
      </c>
      <c r="H19">
        <v>0.32915798958893189</v>
      </c>
    </row>
    <row r="20" spans="1:8" x14ac:dyDescent="0.4">
      <c r="A20" t="s">
        <v>25</v>
      </c>
      <c r="B20">
        <v>6969051</v>
      </c>
      <c r="C20">
        <v>17.161010000000001</v>
      </c>
      <c r="D20">
        <v>57328544</v>
      </c>
      <c r="E20">
        <v>20.22</v>
      </c>
      <c r="F20">
        <v>0.56093099999999996</v>
      </c>
      <c r="G20">
        <v>22993.375</v>
      </c>
      <c r="H20">
        <v>0.47540602628082562</v>
      </c>
    </row>
    <row r="21" spans="1:8" x14ac:dyDescent="0.4">
      <c r="A21" s="18" t="s">
        <v>26</v>
      </c>
      <c r="B21">
        <v>367652.34</v>
      </c>
      <c r="C21">
        <v>6.4300100000000002</v>
      </c>
      <c r="D21">
        <v>4808067.5</v>
      </c>
      <c r="E21">
        <v>10.73</v>
      </c>
      <c r="F21">
        <v>0.76290400000000003</v>
      </c>
      <c r="G21">
        <v>39756.527000000002</v>
      </c>
      <c r="H21">
        <v>1</v>
      </c>
    </row>
    <row r="22" spans="1:8" x14ac:dyDescent="0.4">
      <c r="A22" s="18" t="s">
        <v>27</v>
      </c>
      <c r="B22">
        <v>8910458</v>
      </c>
      <c r="C22">
        <v>9.1618700000000004</v>
      </c>
      <c r="D22">
        <v>63314196</v>
      </c>
      <c r="E22">
        <v>34.75</v>
      </c>
      <c r="F22">
        <v>0.75645300000000004</v>
      </c>
      <c r="G22">
        <v>53196.597999999998</v>
      </c>
      <c r="H22">
        <v>1</v>
      </c>
    </row>
    <row r="23" spans="1:8" x14ac:dyDescent="0.4">
      <c r="A23" t="s">
        <v>28</v>
      </c>
      <c r="B23">
        <v>2627072.7999999998</v>
      </c>
      <c r="C23">
        <v>21.654979999999998</v>
      </c>
      <c r="D23">
        <v>77176136</v>
      </c>
      <c r="E23">
        <v>12.78</v>
      </c>
      <c r="F23">
        <v>0.73618799999999995</v>
      </c>
      <c r="G23">
        <v>31050.407999999999</v>
      </c>
      <c r="H23">
        <v>0.32469982475926662</v>
      </c>
    </row>
    <row r="24" spans="1:8" x14ac:dyDescent="0.4">
      <c r="A24" t="s">
        <v>29</v>
      </c>
      <c r="B24">
        <v>16488255</v>
      </c>
      <c r="C24">
        <v>17.27739</v>
      </c>
      <c r="D24">
        <v>397890080</v>
      </c>
      <c r="E24">
        <v>14.4</v>
      </c>
      <c r="F24">
        <v>0.70633299999999999</v>
      </c>
      <c r="G24">
        <v>33620.741999999998</v>
      </c>
      <c r="H24">
        <v>0.34539598726016268</v>
      </c>
    </row>
    <row r="25" spans="1:8" x14ac:dyDescent="0.4">
      <c r="A25" t="s">
        <v>30</v>
      </c>
      <c r="B25">
        <v>11072543</v>
      </c>
      <c r="C25">
        <v>30.831779999999998</v>
      </c>
      <c r="D25">
        <v>369324380</v>
      </c>
      <c r="E25">
        <v>10.28</v>
      </c>
      <c r="F25">
        <v>0.37193799999999999</v>
      </c>
      <c r="G25">
        <v>23782.562000000002</v>
      </c>
      <c r="H25">
        <v>0.14071907327668129</v>
      </c>
    </row>
    <row r="26" spans="1:8" x14ac:dyDescent="0.4">
      <c r="A26" t="s">
        <v>31</v>
      </c>
      <c r="B26">
        <v>1701691.8</v>
      </c>
      <c r="C26">
        <v>44.577559999999998</v>
      </c>
      <c r="D26">
        <v>20268746</v>
      </c>
      <c r="E26">
        <v>14.05</v>
      </c>
      <c r="F26">
        <v>0.41885</v>
      </c>
      <c r="G26">
        <v>4772.76</v>
      </c>
      <c r="H26">
        <v>0.27981757179240507</v>
      </c>
    </row>
    <row r="27" spans="1:8" x14ac:dyDescent="0.4">
      <c r="A27" t="s">
        <v>32</v>
      </c>
      <c r="B27">
        <v>2201798.7999999998</v>
      </c>
      <c r="C27">
        <v>13.399559999999999</v>
      </c>
      <c r="D27">
        <v>15552152</v>
      </c>
      <c r="E27">
        <v>10.47</v>
      </c>
      <c r="F27">
        <v>0.62699199999999999</v>
      </c>
      <c r="G27">
        <v>22179.42</v>
      </c>
      <c r="H27">
        <v>0.43144542072000852</v>
      </c>
    </row>
    <row r="28" spans="1:8" x14ac:dyDescent="0.4">
      <c r="A28" t="s">
        <v>33</v>
      </c>
      <c r="B28">
        <v>6299640</v>
      </c>
      <c r="C28">
        <v>11.437580000000001</v>
      </c>
      <c r="D28">
        <v>25367098</v>
      </c>
      <c r="E28">
        <v>17.21</v>
      </c>
      <c r="F28">
        <v>0.66436799999999996</v>
      </c>
      <c r="G28">
        <v>23968.848000000002</v>
      </c>
      <c r="H28">
        <v>0.69166987338935149</v>
      </c>
    </row>
    <row r="29" spans="1:8" x14ac:dyDescent="0.4">
      <c r="A29" s="18" t="s">
        <v>34</v>
      </c>
      <c r="B29">
        <v>49154.36</v>
      </c>
      <c r="C29">
        <v>13.853</v>
      </c>
      <c r="D29">
        <v>1892776</v>
      </c>
      <c r="E29">
        <v>7.45</v>
      </c>
      <c r="F29">
        <v>0.67796100000000004</v>
      </c>
      <c r="G29">
        <v>28906.48</v>
      </c>
      <c r="H29">
        <v>1</v>
      </c>
    </row>
    <row r="30" spans="1:8" x14ac:dyDescent="0.4">
      <c r="A30" t="s">
        <v>35</v>
      </c>
      <c r="B30">
        <v>12815863</v>
      </c>
      <c r="C30">
        <v>12.585039999999999</v>
      </c>
      <c r="D30">
        <v>209520130</v>
      </c>
      <c r="E30">
        <v>10.8</v>
      </c>
      <c r="F30">
        <v>0.74280800000000002</v>
      </c>
      <c r="G30">
        <v>44912.663999999997</v>
      </c>
      <c r="H30">
        <v>0.48565402158594878</v>
      </c>
    </row>
    <row r="31" spans="1:8" x14ac:dyDescent="0.4">
      <c r="A31" s="18" t="s">
        <v>36</v>
      </c>
      <c r="B31">
        <v>4156485.5</v>
      </c>
      <c r="C31">
        <v>6.8202999999999996</v>
      </c>
      <c r="D31">
        <v>75014970</v>
      </c>
      <c r="E31">
        <v>6.96</v>
      </c>
      <c r="F31">
        <v>0.80465399999999998</v>
      </c>
      <c r="G31">
        <v>82983.990000000005</v>
      </c>
      <c r="H31">
        <v>1</v>
      </c>
    </row>
    <row r="32" spans="1:8" x14ac:dyDescent="0.4">
      <c r="A32" t="s">
        <v>37</v>
      </c>
      <c r="B32">
        <v>27035148</v>
      </c>
      <c r="C32">
        <v>22.587910000000001</v>
      </c>
      <c r="D32">
        <v>353246460</v>
      </c>
      <c r="E32">
        <v>17.87</v>
      </c>
      <c r="F32">
        <v>0.65846499999999997</v>
      </c>
      <c r="G32">
        <v>24285.14</v>
      </c>
      <c r="H32">
        <v>0.26808658625466453</v>
      </c>
    </row>
    <row r="33" spans="1:8" x14ac:dyDescent="0.4">
      <c r="A33" t="s">
        <v>38</v>
      </c>
      <c r="B33">
        <v>3354506.2</v>
      </c>
      <c r="C33">
        <v>8.6753400000000003</v>
      </c>
      <c r="D33">
        <v>63353732</v>
      </c>
      <c r="E33">
        <v>12.14</v>
      </c>
      <c r="F33">
        <v>0.62483999999999995</v>
      </c>
      <c r="G33">
        <v>24983.701000000001</v>
      </c>
      <c r="H33">
        <v>0.64153350080623761</v>
      </c>
    </row>
    <row r="34" spans="1:8" x14ac:dyDescent="0.4">
      <c r="A34" t="s">
        <v>39</v>
      </c>
      <c r="B34">
        <v>9536401</v>
      </c>
      <c r="C34">
        <v>15.41342</v>
      </c>
      <c r="D34">
        <v>100242660</v>
      </c>
      <c r="E34">
        <v>20.21</v>
      </c>
      <c r="F34">
        <v>0.53965700000000005</v>
      </c>
      <c r="G34">
        <v>19162.186000000002</v>
      </c>
      <c r="H34">
        <v>0.441215869167567</v>
      </c>
    </row>
    <row r="35" spans="1:8" x14ac:dyDescent="0.4">
      <c r="A35" t="s">
        <v>40</v>
      </c>
      <c r="B35">
        <v>3466474</v>
      </c>
      <c r="C35">
        <v>25.332979999999999</v>
      </c>
      <c r="D35">
        <v>45359156</v>
      </c>
      <c r="E35">
        <v>14.77</v>
      </c>
      <c r="F35">
        <v>0.47647099999999998</v>
      </c>
      <c r="G35">
        <v>13013.853999999999</v>
      </c>
      <c r="H35">
        <v>0.31454384257948859</v>
      </c>
    </row>
    <row r="36" spans="1:8" x14ac:dyDescent="0.4">
      <c r="A36" t="s">
        <v>41</v>
      </c>
      <c r="B36">
        <v>3237510.5</v>
      </c>
      <c r="C36">
        <v>19.049779999999998</v>
      </c>
      <c r="D36">
        <v>62561244</v>
      </c>
      <c r="E36">
        <v>19.59</v>
      </c>
      <c r="F36">
        <v>0.65545699999999996</v>
      </c>
      <c r="G36">
        <v>24647.719000000001</v>
      </c>
      <c r="H36">
        <v>0.53271005612944633</v>
      </c>
    </row>
    <row r="37" spans="1:8" x14ac:dyDescent="0.4">
      <c r="A37" t="s">
        <v>42</v>
      </c>
      <c r="B37">
        <v>794894.94</v>
      </c>
      <c r="C37">
        <v>17.55293</v>
      </c>
      <c r="D37">
        <v>20779568</v>
      </c>
      <c r="E37">
        <v>19.940000000000001</v>
      </c>
      <c r="F37">
        <v>0.72378500000000001</v>
      </c>
      <c r="G37">
        <v>26186.248</v>
      </c>
      <c r="H37">
        <v>0.80114760347891445</v>
      </c>
    </row>
    <row r="38" spans="1:8" x14ac:dyDescent="0.4">
      <c r="A38" t="s">
        <v>43</v>
      </c>
      <c r="B38">
        <v>21216588</v>
      </c>
      <c r="C38">
        <v>11.11022</v>
      </c>
      <c r="D38">
        <v>324089500</v>
      </c>
      <c r="E38">
        <v>11.29</v>
      </c>
      <c r="F38">
        <v>0.66597989999999996</v>
      </c>
      <c r="G38">
        <v>32057.098000000002</v>
      </c>
      <c r="H38">
        <v>0.48636057279715877</v>
      </c>
    </row>
    <row r="39" spans="1:8" x14ac:dyDescent="0.4">
      <c r="A39" s="18" t="s">
        <v>44</v>
      </c>
      <c r="B39">
        <v>9205298</v>
      </c>
      <c r="C39">
        <v>6.3726599999999998</v>
      </c>
      <c r="D39">
        <v>75343464</v>
      </c>
      <c r="E39">
        <v>13.61</v>
      </c>
      <c r="F39">
        <v>0.78541799999999995</v>
      </c>
      <c r="G39">
        <v>43782.457000000002</v>
      </c>
      <c r="H39">
        <v>1</v>
      </c>
    </row>
    <row r="40" spans="1:8" x14ac:dyDescent="0.4">
      <c r="A40" t="s">
        <v>45</v>
      </c>
      <c r="B40">
        <v>2282562.7999999998</v>
      </c>
      <c r="C40">
        <v>10.81907</v>
      </c>
      <c r="D40">
        <v>45879580</v>
      </c>
      <c r="E40">
        <v>17.12</v>
      </c>
      <c r="F40">
        <v>0.84757000000000005</v>
      </c>
      <c r="G40">
        <v>60070.866999999998</v>
      </c>
      <c r="H40">
        <v>0.8422393929573222</v>
      </c>
    </row>
    <row r="41" spans="1:8" x14ac:dyDescent="0.4">
      <c r="A41" t="s">
        <v>46</v>
      </c>
      <c r="B41">
        <v>1821999.2</v>
      </c>
      <c r="C41">
        <v>63.279150000000001</v>
      </c>
      <c r="D41">
        <v>16845876</v>
      </c>
      <c r="E41">
        <v>10.08</v>
      </c>
      <c r="F41">
        <v>0.24573400000000001</v>
      </c>
      <c r="G41">
        <v>3784.3434999999999</v>
      </c>
      <c r="H41">
        <v>0.2048546265083212</v>
      </c>
    </row>
    <row r="42" spans="1:8" x14ac:dyDescent="0.4">
      <c r="A42" t="s">
        <v>47</v>
      </c>
      <c r="B42">
        <v>23037010</v>
      </c>
      <c r="C42">
        <v>14.66802</v>
      </c>
      <c r="D42">
        <v>312214500</v>
      </c>
      <c r="E42">
        <v>11.9</v>
      </c>
      <c r="F42">
        <v>0.41184900000000002</v>
      </c>
      <c r="G42">
        <v>8959.1740000000009</v>
      </c>
      <c r="H42">
        <v>0.26585939415739418</v>
      </c>
    </row>
    <row r="43" spans="1:8" x14ac:dyDescent="0.4">
      <c r="A43" t="s">
        <v>48</v>
      </c>
      <c r="B43">
        <v>30488942</v>
      </c>
      <c r="C43">
        <v>11.082789999999999</v>
      </c>
      <c r="D43">
        <v>517176200</v>
      </c>
      <c r="E43">
        <v>9.2899999999999991</v>
      </c>
      <c r="F43">
        <v>0.78159500000000004</v>
      </c>
      <c r="G43">
        <v>37101.226999999999</v>
      </c>
      <c r="H43">
        <v>0.57220620952710188</v>
      </c>
    </row>
    <row r="44" spans="1:8" x14ac:dyDescent="0.4">
      <c r="A44" t="s">
        <v>49</v>
      </c>
      <c r="B44">
        <v>251828430</v>
      </c>
      <c r="C44">
        <v>8.3103599999999993</v>
      </c>
      <c r="D44">
        <v>6248505300</v>
      </c>
      <c r="E44">
        <v>11.7</v>
      </c>
      <c r="F44">
        <v>0.77281093999999995</v>
      </c>
      <c r="G44">
        <v>52808.152000000002</v>
      </c>
      <c r="H44">
        <v>0.76389986177915381</v>
      </c>
    </row>
    <row r="45" spans="1:8" x14ac:dyDescent="0.4">
      <c r="A45" t="s">
        <v>50</v>
      </c>
      <c r="B45">
        <v>12312490</v>
      </c>
      <c r="C45">
        <v>48.461559999999999</v>
      </c>
      <c r="D45">
        <v>178154300</v>
      </c>
      <c r="E45">
        <v>12.81</v>
      </c>
      <c r="F45">
        <v>0.27352799999999999</v>
      </c>
      <c r="G45">
        <v>9381.3469999999998</v>
      </c>
      <c r="H45">
        <v>0.1243556490048896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F24F-60B6-468B-9057-46EBE59CC8C2}">
  <dimension ref="A1:N31"/>
  <sheetViews>
    <sheetView workbookViewId="0">
      <selection activeCell="G29" sqref="G29:N31"/>
    </sheetView>
  </sheetViews>
  <sheetFormatPr defaultRowHeight="14.6" x14ac:dyDescent="0.4"/>
  <cols>
    <col min="9" max="9" width="24.3046875" customWidth="1"/>
    <col min="10" max="10" width="20.765625" customWidth="1"/>
    <col min="11" max="11" width="14.07421875" customWidth="1"/>
    <col min="12" max="12" width="13.84375" customWidth="1"/>
    <col min="13" max="13" width="16.69140625" customWidth="1"/>
    <col min="14" max="14" width="16.4609375" customWidth="1"/>
  </cols>
  <sheetData>
    <row r="1" spans="1:14" x14ac:dyDescent="0.4">
      <c r="A1" s="20" t="s">
        <v>0</v>
      </c>
      <c r="B1" s="20" t="s">
        <v>1</v>
      </c>
      <c r="C1" s="20" t="s">
        <v>2</v>
      </c>
      <c r="D1" s="20" t="s">
        <v>3</v>
      </c>
      <c r="E1" s="20" t="s">
        <v>4</v>
      </c>
      <c r="F1" s="20" t="s">
        <v>5</v>
      </c>
      <c r="G1" s="20" t="s">
        <v>6</v>
      </c>
      <c r="H1" s="20" t="s">
        <v>140</v>
      </c>
      <c r="I1" s="22" t="s">
        <v>146</v>
      </c>
      <c r="J1" s="22" t="s">
        <v>145</v>
      </c>
      <c r="K1" s="22" t="s">
        <v>144</v>
      </c>
      <c r="L1" s="23" t="s">
        <v>143</v>
      </c>
      <c r="M1" s="23" t="s">
        <v>142</v>
      </c>
      <c r="N1" s="23" t="s">
        <v>141</v>
      </c>
    </row>
    <row r="2" spans="1:14" x14ac:dyDescent="0.4">
      <c r="A2" t="s">
        <v>7</v>
      </c>
      <c r="B2">
        <v>41.796131904828158</v>
      </c>
      <c r="C2">
        <v>18.982710000000001</v>
      </c>
      <c r="D2">
        <v>337.12046055377772</v>
      </c>
      <c r="E2">
        <v>5.67</v>
      </c>
      <c r="F2">
        <v>0.49429400000000001</v>
      </c>
      <c r="G2">
        <v>10192.529</v>
      </c>
      <c r="H2">
        <v>0.3291758608525332</v>
      </c>
      <c r="I2" s="12">
        <v>4.7392092018923329</v>
      </c>
      <c r="J2" s="12">
        <v>0</v>
      </c>
      <c r="K2" s="12">
        <v>0</v>
      </c>
      <c r="L2" s="14">
        <v>6.2464791364772498</v>
      </c>
      <c r="M2" s="14">
        <v>0.25322091503819272</v>
      </c>
      <c r="N2" s="14">
        <v>28732.012696923699</v>
      </c>
    </row>
    <row r="3" spans="1:14" x14ac:dyDescent="0.4">
      <c r="A3" t="s">
        <v>11</v>
      </c>
      <c r="B3">
        <v>138.60475043360961</v>
      </c>
      <c r="C3">
        <v>16.49174</v>
      </c>
      <c r="D3">
        <v>537.63680863364812</v>
      </c>
      <c r="E3">
        <v>20.64</v>
      </c>
      <c r="F3">
        <v>0.38143300000000002</v>
      </c>
      <c r="G3">
        <v>18122.863000000001</v>
      </c>
      <c r="H3">
        <v>1</v>
      </c>
      <c r="I3" s="12">
        <v>0</v>
      </c>
      <c r="J3" s="12">
        <v>0</v>
      </c>
      <c r="K3" s="12">
        <v>0</v>
      </c>
      <c r="L3" s="14">
        <v>0</v>
      </c>
      <c r="M3" s="14">
        <v>0</v>
      </c>
      <c r="N3" s="14">
        <v>0</v>
      </c>
    </row>
    <row r="4" spans="1:14" x14ac:dyDescent="0.4">
      <c r="A4" t="s">
        <v>12</v>
      </c>
      <c r="B4">
        <v>303.82165667361829</v>
      </c>
      <c r="C4">
        <v>13.27885</v>
      </c>
      <c r="D4">
        <v>4124.0598931178311</v>
      </c>
      <c r="E4">
        <v>12.69</v>
      </c>
      <c r="F4">
        <v>0.71222556000000004</v>
      </c>
      <c r="G4">
        <v>39160.324000000001</v>
      </c>
      <c r="H4">
        <v>0.46446124696434832</v>
      </c>
      <c r="I4" s="12">
        <v>118.8650617259097</v>
      </c>
      <c r="J4" s="12">
        <v>0</v>
      </c>
      <c r="K4" s="12">
        <v>1603.2500866848741</v>
      </c>
      <c r="L4" s="14">
        <v>1.580593864583351</v>
      </c>
      <c r="M4" s="14">
        <v>7.8451267634248034E-3</v>
      </c>
      <c r="N4" s="14">
        <v>0</v>
      </c>
    </row>
    <row r="5" spans="1:14" x14ac:dyDescent="0.4">
      <c r="A5" t="s">
        <v>13</v>
      </c>
      <c r="B5">
        <v>34.66733336937132</v>
      </c>
      <c r="C5">
        <v>20.41206</v>
      </c>
      <c r="D5">
        <v>535.51546930464713</v>
      </c>
      <c r="E5">
        <v>13.63</v>
      </c>
      <c r="F5">
        <v>0.54433600000000004</v>
      </c>
      <c r="G5">
        <v>16186.409</v>
      </c>
      <c r="H5">
        <v>0.48718650659184082</v>
      </c>
      <c r="I5" s="12">
        <v>0</v>
      </c>
      <c r="J5" s="12">
        <v>3.9577517227303929</v>
      </c>
      <c r="K5" s="12">
        <v>57.073573835440527</v>
      </c>
      <c r="L5" s="14">
        <v>0</v>
      </c>
      <c r="M5" s="14">
        <v>0.18095389873417719</v>
      </c>
      <c r="N5" s="14">
        <v>21536.57412658228</v>
      </c>
    </row>
    <row r="6" spans="1:14" x14ac:dyDescent="0.4">
      <c r="A6" t="s">
        <v>14</v>
      </c>
      <c r="B6">
        <v>4.2449093640460687</v>
      </c>
      <c r="C6">
        <v>7.1536400000000002</v>
      </c>
      <c r="D6">
        <v>85.897101652478725</v>
      </c>
      <c r="E6">
        <v>9.98</v>
      </c>
      <c r="F6">
        <v>0.78090999999999999</v>
      </c>
      <c r="G6">
        <v>43761.527000000002</v>
      </c>
      <c r="H6">
        <v>1</v>
      </c>
      <c r="I6" s="12">
        <v>0</v>
      </c>
      <c r="J6" s="12">
        <v>0</v>
      </c>
      <c r="K6" s="12">
        <v>0</v>
      </c>
      <c r="L6" s="14">
        <v>0</v>
      </c>
      <c r="M6" s="14">
        <v>0</v>
      </c>
      <c r="N6" s="14">
        <v>0</v>
      </c>
    </row>
    <row r="7" spans="1:14" x14ac:dyDescent="0.4">
      <c r="A7" t="s">
        <v>16</v>
      </c>
      <c r="B7">
        <v>36.992607567567568</v>
      </c>
      <c r="C7">
        <v>15.126860000000001</v>
      </c>
      <c r="D7">
        <v>826.37967567567568</v>
      </c>
      <c r="E7">
        <v>4.26</v>
      </c>
      <c r="F7">
        <v>0.68421100000000001</v>
      </c>
      <c r="G7">
        <v>25081.504000000001</v>
      </c>
      <c r="H7">
        <v>0.40034348202503922</v>
      </c>
      <c r="I7" s="12">
        <v>0</v>
      </c>
      <c r="J7" s="12">
        <v>0</v>
      </c>
      <c r="K7" s="12">
        <v>151.54860230713791</v>
      </c>
      <c r="L7" s="14">
        <v>8.9172113554674279</v>
      </c>
      <c r="M7" s="14">
        <v>4.6951739398819532E-2</v>
      </c>
      <c r="N7" s="14">
        <v>12958.984496941701</v>
      </c>
    </row>
    <row r="8" spans="1:14" x14ac:dyDescent="0.4">
      <c r="A8" t="s">
        <v>17</v>
      </c>
      <c r="B8">
        <v>81.664995054903258</v>
      </c>
      <c r="C8">
        <v>17.515899999999998</v>
      </c>
      <c r="D8">
        <v>1519.410899500419</v>
      </c>
      <c r="E8">
        <v>23.92</v>
      </c>
      <c r="F8">
        <v>0.68402399999999997</v>
      </c>
      <c r="G8">
        <v>28437.603999999999</v>
      </c>
      <c r="H8">
        <v>1</v>
      </c>
      <c r="I8" s="12">
        <v>0</v>
      </c>
      <c r="J8" s="12">
        <v>0</v>
      </c>
      <c r="K8" s="12">
        <v>0</v>
      </c>
      <c r="L8" s="14">
        <v>0</v>
      </c>
      <c r="M8" s="14">
        <v>0</v>
      </c>
      <c r="N8" s="14">
        <v>0</v>
      </c>
    </row>
    <row r="9" spans="1:14" x14ac:dyDescent="0.4">
      <c r="A9" t="s">
        <v>20</v>
      </c>
      <c r="B9">
        <v>21.71222175606124</v>
      </c>
      <c r="C9">
        <v>5.8262299999999998</v>
      </c>
      <c r="D9">
        <v>260.7186035655406</v>
      </c>
      <c r="E9">
        <v>14.68</v>
      </c>
      <c r="F9">
        <v>0.71167100000000005</v>
      </c>
      <c r="G9">
        <v>36986.699999999997</v>
      </c>
      <c r="H9">
        <v>1</v>
      </c>
      <c r="I9" s="12">
        <v>0</v>
      </c>
      <c r="J9" s="12">
        <v>0</v>
      </c>
      <c r="K9" s="12">
        <v>0</v>
      </c>
      <c r="L9" s="14">
        <v>0</v>
      </c>
      <c r="M9" s="14">
        <v>0</v>
      </c>
      <c r="N9" s="14">
        <v>0</v>
      </c>
    </row>
    <row r="10" spans="1:14" x14ac:dyDescent="0.4">
      <c r="A10" t="s">
        <v>21</v>
      </c>
      <c r="B10">
        <v>71.585840002175118</v>
      </c>
      <c r="C10">
        <v>12.20689</v>
      </c>
      <c r="D10">
        <v>732.39318826525528</v>
      </c>
      <c r="E10">
        <v>10.43</v>
      </c>
      <c r="F10">
        <v>0.73974150000000005</v>
      </c>
      <c r="G10">
        <v>37077.89</v>
      </c>
      <c r="H10">
        <v>0.50439058160199468</v>
      </c>
      <c r="I10" s="12">
        <v>24.335410239597199</v>
      </c>
      <c r="J10" s="12">
        <v>0</v>
      </c>
      <c r="K10" s="12">
        <v>225.9649736454549</v>
      </c>
      <c r="L10" s="14">
        <v>2.085799679893817</v>
      </c>
      <c r="M10" s="14">
        <v>0</v>
      </c>
      <c r="N10" s="14">
        <v>1426.394931655381</v>
      </c>
    </row>
    <row r="11" spans="1:14" x14ac:dyDescent="0.4">
      <c r="A11" t="s">
        <v>24</v>
      </c>
      <c r="B11">
        <v>34.706987882416243</v>
      </c>
      <c r="C11">
        <v>16.445550000000001</v>
      </c>
      <c r="D11">
        <v>639.53128670703336</v>
      </c>
      <c r="E11">
        <v>8.2899999999999991</v>
      </c>
      <c r="F11">
        <v>0.64623299999999995</v>
      </c>
      <c r="G11">
        <v>22696.203000000001</v>
      </c>
      <c r="H11">
        <v>0.3720786546430041</v>
      </c>
      <c r="I11" s="12">
        <v>0</v>
      </c>
      <c r="J11" s="12">
        <v>0</v>
      </c>
      <c r="K11" s="12">
        <v>81.037003790688601</v>
      </c>
      <c r="L11" s="14">
        <v>4.4744147379611476</v>
      </c>
      <c r="M11" s="14">
        <v>9.0283868286085256E-2</v>
      </c>
      <c r="N11" s="14">
        <v>15633.74757711323</v>
      </c>
    </row>
    <row r="12" spans="1:14" x14ac:dyDescent="0.4">
      <c r="A12" t="s">
        <v>22</v>
      </c>
      <c r="B12">
        <v>26.057592539454809</v>
      </c>
      <c r="C12">
        <v>22.569389999999999</v>
      </c>
      <c r="D12">
        <v>131.88573888091821</v>
      </c>
      <c r="E12">
        <v>8.86</v>
      </c>
      <c r="F12">
        <v>0.55564499999999994</v>
      </c>
      <c r="G12">
        <v>10629.593999999999</v>
      </c>
      <c r="H12">
        <v>0.35394476602538227</v>
      </c>
      <c r="I12" s="12">
        <v>5.6535083003873234</v>
      </c>
      <c r="J12" s="12">
        <v>1.558307462885604</v>
      </c>
      <c r="K12" s="12">
        <v>0</v>
      </c>
      <c r="L12" s="14">
        <v>1.870000000000001</v>
      </c>
      <c r="M12" s="14">
        <v>0.20725900000000011</v>
      </c>
      <c r="N12" s="14">
        <v>29126.933000000001</v>
      </c>
    </row>
    <row r="13" spans="1:14" x14ac:dyDescent="0.4">
      <c r="A13" t="s">
        <v>26</v>
      </c>
      <c r="B13">
        <v>3.5694401941747569</v>
      </c>
      <c r="C13">
        <v>6.4300100000000002</v>
      </c>
      <c r="D13">
        <v>46.680266990291273</v>
      </c>
      <c r="E13">
        <v>10.73</v>
      </c>
      <c r="F13">
        <v>0.76290400000000003</v>
      </c>
      <c r="G13">
        <v>39756.527000000002</v>
      </c>
      <c r="H13">
        <v>1</v>
      </c>
      <c r="I13" s="12">
        <v>0</v>
      </c>
      <c r="J13" s="12">
        <v>0</v>
      </c>
      <c r="K13" s="12">
        <v>0</v>
      </c>
      <c r="L13" s="14">
        <v>0</v>
      </c>
      <c r="M13" s="14">
        <v>0</v>
      </c>
      <c r="N13" s="14">
        <v>0</v>
      </c>
    </row>
    <row r="14" spans="1:14" x14ac:dyDescent="0.4">
      <c r="A14" t="s">
        <v>28</v>
      </c>
      <c r="B14">
        <v>126.48400577756379</v>
      </c>
      <c r="C14">
        <v>21.654979999999998</v>
      </c>
      <c r="D14">
        <v>3715.7504092441018</v>
      </c>
      <c r="E14">
        <v>12.78</v>
      </c>
      <c r="F14">
        <v>0.73618799999999995</v>
      </c>
      <c r="G14">
        <v>31050.407999999999</v>
      </c>
      <c r="H14">
        <v>0.28239058230125369</v>
      </c>
      <c r="I14" s="12">
        <v>22.687702874709029</v>
      </c>
      <c r="J14" s="12">
        <v>0</v>
      </c>
      <c r="K14" s="12">
        <v>891.00005741399332</v>
      </c>
      <c r="L14" s="14">
        <v>9.7700700720313449E-3</v>
      </c>
      <c r="M14" s="14">
        <v>0</v>
      </c>
      <c r="N14" s="14">
        <v>7261.7628597778748</v>
      </c>
    </row>
    <row r="15" spans="1:14" x14ac:dyDescent="0.4">
      <c r="A15" t="s">
        <v>29</v>
      </c>
      <c r="B15">
        <v>54.583676793357903</v>
      </c>
      <c r="C15">
        <v>17.27739</v>
      </c>
      <c r="D15">
        <v>1317.198425546143</v>
      </c>
      <c r="E15">
        <v>14.4</v>
      </c>
      <c r="F15">
        <v>0.70633299999999999</v>
      </c>
      <c r="G15">
        <v>33620.741999999998</v>
      </c>
      <c r="H15">
        <v>0.37421720859262769</v>
      </c>
      <c r="I15" s="12">
        <v>0</v>
      </c>
      <c r="J15" s="12">
        <v>0.59646706262947102</v>
      </c>
      <c r="K15" s="12">
        <v>247.37205218749031</v>
      </c>
      <c r="L15" s="14">
        <v>0</v>
      </c>
      <c r="M15" s="14">
        <v>8.9697063291140147E-3</v>
      </c>
      <c r="N15" s="14">
        <v>3562.3001670886042</v>
      </c>
    </row>
    <row r="16" spans="1:14" x14ac:dyDescent="0.4">
      <c r="A16" t="s">
        <v>30</v>
      </c>
      <c r="B16">
        <v>4.0633185321100918</v>
      </c>
      <c r="C16">
        <v>30.831779999999998</v>
      </c>
      <c r="D16">
        <v>135.5318825688073</v>
      </c>
      <c r="E16">
        <v>10.28</v>
      </c>
      <c r="F16">
        <v>0.37193799999999999</v>
      </c>
      <c r="G16">
        <v>23782.562000000002</v>
      </c>
      <c r="H16">
        <v>0.87845443717185956</v>
      </c>
      <c r="I16" s="12">
        <v>0</v>
      </c>
      <c r="J16" s="12">
        <v>20.654303946906591</v>
      </c>
      <c r="K16" s="12">
        <v>72.378316630532964</v>
      </c>
      <c r="L16" s="14">
        <v>0.45000000000000112</v>
      </c>
      <c r="M16" s="14">
        <v>0.39096599999999998</v>
      </c>
      <c r="N16" s="14">
        <v>15973.965</v>
      </c>
    </row>
    <row r="17" spans="1:14" x14ac:dyDescent="0.4">
      <c r="A17" t="s">
        <v>33</v>
      </c>
      <c r="B17">
        <v>96.472281776416537</v>
      </c>
      <c r="C17">
        <v>11.437580000000001</v>
      </c>
      <c r="D17">
        <v>388.47010719754979</v>
      </c>
      <c r="E17">
        <v>17.21</v>
      </c>
      <c r="F17">
        <v>0.66436799999999996</v>
      </c>
      <c r="G17">
        <v>23968.848000000002</v>
      </c>
      <c r="H17">
        <v>1</v>
      </c>
      <c r="I17" s="12">
        <v>0</v>
      </c>
      <c r="J17" s="12">
        <v>0</v>
      </c>
      <c r="K17" s="12">
        <v>0</v>
      </c>
      <c r="L17" s="14">
        <v>0</v>
      </c>
      <c r="M17" s="14">
        <v>0</v>
      </c>
      <c r="N17" s="14">
        <v>0</v>
      </c>
    </row>
    <row r="18" spans="1:14" x14ac:dyDescent="0.4">
      <c r="A18" t="s">
        <v>34</v>
      </c>
      <c r="B18">
        <v>155.55177215189869</v>
      </c>
      <c r="C18">
        <v>13.853</v>
      </c>
      <c r="D18">
        <v>5989.7974683544307</v>
      </c>
      <c r="E18">
        <v>7.45</v>
      </c>
      <c r="F18">
        <v>0.67796100000000004</v>
      </c>
      <c r="G18">
        <v>28906.48</v>
      </c>
      <c r="H18">
        <v>0.42057532664404818</v>
      </c>
      <c r="I18" s="12">
        <v>43.709015626784137</v>
      </c>
      <c r="J18" s="12">
        <v>0</v>
      </c>
      <c r="K18" s="12">
        <v>2258.4424232193169</v>
      </c>
      <c r="L18" s="14">
        <v>7.23</v>
      </c>
      <c r="M18" s="14">
        <v>3.3710000000000018E-2</v>
      </c>
      <c r="N18" s="14">
        <v>8080.2199999999984</v>
      </c>
    </row>
    <row r="19" spans="1:14" x14ac:dyDescent="0.4">
      <c r="A19" t="s">
        <v>35</v>
      </c>
      <c r="B19">
        <v>306.23328554360808</v>
      </c>
      <c r="C19">
        <v>12.585039999999999</v>
      </c>
      <c r="D19">
        <v>5006.4547192353648</v>
      </c>
      <c r="E19">
        <v>10.8</v>
      </c>
      <c r="F19">
        <v>0.74280800000000002</v>
      </c>
      <c r="G19">
        <v>44912.663999999997</v>
      </c>
      <c r="H19">
        <v>0.56200099466755349</v>
      </c>
      <c r="I19" s="12">
        <v>148.67236546241489</v>
      </c>
      <c r="J19" s="12">
        <v>0</v>
      </c>
      <c r="K19" s="12">
        <v>2368.6389822271431</v>
      </c>
      <c r="L19" s="14">
        <v>2.3441469469922538</v>
      </c>
      <c r="M19" s="14">
        <v>0</v>
      </c>
      <c r="N19" s="14">
        <v>0</v>
      </c>
    </row>
    <row r="20" spans="1:14" x14ac:dyDescent="0.4">
      <c r="A20" t="s">
        <v>38</v>
      </c>
      <c r="B20">
        <v>36.401881673756407</v>
      </c>
      <c r="C20">
        <v>8.6753400000000003</v>
      </c>
      <c r="D20">
        <v>687.49166594322423</v>
      </c>
      <c r="E20">
        <v>12.14</v>
      </c>
      <c r="F20">
        <v>0.62483999999999995</v>
      </c>
      <c r="G20">
        <v>24983.701000000001</v>
      </c>
      <c r="H20">
        <v>0.67158520588242065</v>
      </c>
      <c r="I20" s="12">
        <v>2.7347434423159669</v>
      </c>
      <c r="J20" s="12">
        <v>0</v>
      </c>
      <c r="K20" s="12">
        <v>200.99062844938811</v>
      </c>
      <c r="L20" s="14">
        <v>2.5399999999999991</v>
      </c>
      <c r="M20" s="14">
        <v>8.6831000000000103E-2</v>
      </c>
      <c r="N20" s="14">
        <v>12002.999</v>
      </c>
    </row>
    <row r="21" spans="1:14" x14ac:dyDescent="0.4">
      <c r="A21" t="s">
        <v>40</v>
      </c>
      <c r="B21">
        <v>39.169640334919038</v>
      </c>
      <c r="C21">
        <v>25.332979999999999</v>
      </c>
      <c r="D21">
        <v>512.53862755511364</v>
      </c>
      <c r="E21">
        <v>14.77</v>
      </c>
      <c r="F21">
        <v>0.47647099999999998</v>
      </c>
      <c r="G21">
        <v>13013.853999999999</v>
      </c>
      <c r="H21">
        <v>0.56922088509105417</v>
      </c>
      <c r="I21" s="12">
        <v>0</v>
      </c>
      <c r="J21" s="12">
        <v>8.4799708755160523</v>
      </c>
      <c r="K21" s="12">
        <v>18.76909775926578</v>
      </c>
      <c r="L21" s="14">
        <v>0</v>
      </c>
      <c r="M21" s="14">
        <v>0.2349307110389611</v>
      </c>
      <c r="N21" s="14">
        <v>23889.575584415579</v>
      </c>
    </row>
    <row r="22" spans="1:14" x14ac:dyDescent="0.4">
      <c r="A22" t="s">
        <v>41</v>
      </c>
      <c r="B22">
        <v>66.024482512491076</v>
      </c>
      <c r="C22">
        <v>19.049779999999998</v>
      </c>
      <c r="D22">
        <v>1275.8487610890179</v>
      </c>
      <c r="E22">
        <v>19.59</v>
      </c>
      <c r="F22">
        <v>0.65545699999999996</v>
      </c>
      <c r="G22">
        <v>24647.719000000001</v>
      </c>
      <c r="H22">
        <v>0.81136937430989342</v>
      </c>
      <c r="I22" s="12">
        <v>0</v>
      </c>
      <c r="J22" s="12">
        <v>3.418459497090041</v>
      </c>
      <c r="K22" s="12">
        <v>105.615447580468</v>
      </c>
      <c r="L22" s="14">
        <v>0</v>
      </c>
      <c r="M22" s="14">
        <v>4.1522791125541192E-2</v>
      </c>
      <c r="N22" s="14">
        <v>7796.117216450215</v>
      </c>
    </row>
    <row r="23" spans="1:14" x14ac:dyDescent="0.4">
      <c r="A23" t="s">
        <v>43</v>
      </c>
      <c r="B23">
        <v>41.927529988340609</v>
      </c>
      <c r="C23">
        <v>11.11022</v>
      </c>
      <c r="D23">
        <v>640.45511135703418</v>
      </c>
      <c r="E23">
        <v>11.29</v>
      </c>
      <c r="F23">
        <v>0.66597989999999996</v>
      </c>
      <c r="G23">
        <v>32057.098000000002</v>
      </c>
      <c r="H23">
        <v>0.5244027571011195</v>
      </c>
      <c r="I23" s="12">
        <v>0.27469056826443961</v>
      </c>
      <c r="J23" s="12">
        <v>0</v>
      </c>
      <c r="K23" s="12">
        <v>75.13782262959262</v>
      </c>
      <c r="L23" s="14">
        <v>3.390000000000001</v>
      </c>
      <c r="M23" s="14">
        <v>4.5691100000000102E-2</v>
      </c>
      <c r="N23" s="14">
        <v>4929.6019999999953</v>
      </c>
    </row>
    <row r="24" spans="1:14" x14ac:dyDescent="0.4">
      <c r="A24" t="s">
        <v>48</v>
      </c>
      <c r="B24">
        <v>125.1547227125323</v>
      </c>
      <c r="C24">
        <v>11.082789999999999</v>
      </c>
      <c r="D24">
        <v>2122.9678584622961</v>
      </c>
      <c r="E24">
        <v>9.2899999999999991</v>
      </c>
      <c r="F24">
        <v>0.78159500000000004</v>
      </c>
      <c r="G24">
        <v>37101.226999999999</v>
      </c>
      <c r="H24">
        <v>1</v>
      </c>
      <c r="I24" s="12">
        <v>0</v>
      </c>
      <c r="J24" s="12">
        <v>0</v>
      </c>
      <c r="K24" s="12">
        <v>0</v>
      </c>
      <c r="L24" s="14">
        <v>0</v>
      </c>
      <c r="M24" s="14">
        <v>0</v>
      </c>
      <c r="N24" s="14">
        <v>0</v>
      </c>
    </row>
    <row r="25" spans="1:14" x14ac:dyDescent="0.4">
      <c r="A25" t="s">
        <v>49</v>
      </c>
      <c r="B25">
        <v>25.614420368793809</v>
      </c>
      <c r="C25">
        <v>8.3103599999999993</v>
      </c>
      <c r="D25">
        <v>635.55906468080696</v>
      </c>
      <c r="E25">
        <v>11.7</v>
      </c>
      <c r="F25">
        <v>0.77281093999999995</v>
      </c>
      <c r="G25">
        <v>52808.152000000002</v>
      </c>
      <c r="H25">
        <v>1</v>
      </c>
      <c r="I25" s="12">
        <v>0</v>
      </c>
      <c r="J25" s="12">
        <v>0</v>
      </c>
      <c r="K25" s="12">
        <v>0</v>
      </c>
      <c r="L25" s="14">
        <v>0</v>
      </c>
      <c r="M25" s="14">
        <v>0</v>
      </c>
      <c r="N25" s="14">
        <v>0</v>
      </c>
    </row>
    <row r="26" spans="1:14" x14ac:dyDescent="0.4">
      <c r="A26" t="s">
        <v>50</v>
      </c>
      <c r="B26">
        <v>27.52009387572642</v>
      </c>
      <c r="C26">
        <v>48.461559999999999</v>
      </c>
      <c r="D26">
        <v>398.19915064818952</v>
      </c>
      <c r="E26">
        <v>12.81</v>
      </c>
      <c r="F26">
        <v>0.27352799999999999</v>
      </c>
      <c r="G26">
        <v>9381.3469999999998</v>
      </c>
      <c r="H26">
        <v>0.47685547535836131</v>
      </c>
      <c r="I26" s="12">
        <v>0</v>
      </c>
      <c r="J26" s="12">
        <v>16.997090078509011</v>
      </c>
      <c r="K26" s="12">
        <v>30.49438332326616</v>
      </c>
      <c r="L26" s="14">
        <v>0</v>
      </c>
      <c r="M26" s="14">
        <v>0.46239761012658231</v>
      </c>
      <c r="N26" s="14">
        <v>28916.63818734177</v>
      </c>
    </row>
    <row r="29" spans="1:14" x14ac:dyDescent="0.4">
      <c r="G29" s="24"/>
      <c r="H29" s="24" t="s">
        <v>172</v>
      </c>
      <c r="I29" s="25" t="s">
        <v>146</v>
      </c>
      <c r="J29" s="25" t="s">
        <v>145</v>
      </c>
      <c r="K29" s="25" t="s">
        <v>144</v>
      </c>
      <c r="L29" s="25" t="s">
        <v>143</v>
      </c>
      <c r="M29" s="25" t="s">
        <v>142</v>
      </c>
      <c r="N29" s="25" t="s">
        <v>141</v>
      </c>
    </row>
    <row r="30" spans="1:14" x14ac:dyDescent="0.4">
      <c r="A30" t="s">
        <v>11</v>
      </c>
      <c r="G30" t="s">
        <v>11</v>
      </c>
      <c r="H30">
        <v>1</v>
      </c>
      <c r="I30">
        <v>0</v>
      </c>
      <c r="J30">
        <v>0</v>
      </c>
      <c r="K30">
        <v>0</v>
      </c>
      <c r="L30">
        <v>0</v>
      </c>
      <c r="M30">
        <v>0</v>
      </c>
      <c r="N30">
        <v>0</v>
      </c>
    </row>
    <row r="31" spans="1:14" x14ac:dyDescent="0.4">
      <c r="A31" t="s">
        <v>12</v>
      </c>
      <c r="G31" s="24" t="s">
        <v>12</v>
      </c>
      <c r="H31" s="24">
        <v>0.46446124696434832</v>
      </c>
      <c r="I31" s="24">
        <v>118.8650617259097</v>
      </c>
      <c r="J31" s="24">
        <v>0</v>
      </c>
      <c r="K31" s="24">
        <v>1603.2500866848741</v>
      </c>
      <c r="L31" s="24">
        <v>1.580593864583351</v>
      </c>
      <c r="M31" s="24">
        <v>7.8451267634248034E-3</v>
      </c>
      <c r="N31" s="24">
        <v>0</v>
      </c>
    </row>
  </sheetData>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B30F2-692D-480B-85F4-C7A63897650E}">
  <dimension ref="A1:Z26"/>
  <sheetViews>
    <sheetView workbookViewId="0">
      <selection activeCell="H8" sqref="H8"/>
    </sheetView>
  </sheetViews>
  <sheetFormatPr defaultRowHeight="14.6" x14ac:dyDescent="0.4"/>
  <cols>
    <col min="3" max="3" width="19.4609375" customWidth="1"/>
    <col min="8" max="8" width="21.3046875" customWidth="1"/>
    <col min="9" max="9" width="17.53515625" customWidth="1"/>
    <col min="13" max="13" width="20" customWidth="1"/>
    <col min="25" max="25" width="19.84375" customWidth="1"/>
  </cols>
  <sheetData>
    <row r="1" spans="1:26" x14ac:dyDescent="0.4">
      <c r="A1" s="20" t="s">
        <v>0</v>
      </c>
      <c r="B1" s="20" t="s">
        <v>171</v>
      </c>
      <c r="C1" s="20" t="s">
        <v>170</v>
      </c>
      <c r="D1" s="20" t="s">
        <v>169</v>
      </c>
      <c r="E1" s="20" t="s">
        <v>168</v>
      </c>
      <c r="F1" s="20" t="s">
        <v>167</v>
      </c>
      <c r="G1" s="20" t="s">
        <v>166</v>
      </c>
      <c r="H1" s="20" t="s">
        <v>165</v>
      </c>
      <c r="I1" s="20" t="s">
        <v>164</v>
      </c>
      <c r="J1" s="20" t="s">
        <v>163</v>
      </c>
      <c r="K1" s="20" t="s">
        <v>162</v>
      </c>
      <c r="L1" s="20" t="s">
        <v>161</v>
      </c>
      <c r="M1" s="20" t="s">
        <v>160</v>
      </c>
      <c r="N1" s="20" t="s">
        <v>159</v>
      </c>
      <c r="O1" s="20" t="s">
        <v>158</v>
      </c>
      <c r="P1" s="20" t="s">
        <v>157</v>
      </c>
      <c r="Q1" s="20" t="s">
        <v>156</v>
      </c>
      <c r="R1" s="20" t="s">
        <v>155</v>
      </c>
      <c r="S1" s="20" t="s">
        <v>154</v>
      </c>
      <c r="T1" s="20" t="s">
        <v>153</v>
      </c>
      <c r="U1" s="20" t="s">
        <v>152</v>
      </c>
      <c r="V1" s="20" t="s">
        <v>151</v>
      </c>
      <c r="W1" s="20" t="s">
        <v>150</v>
      </c>
      <c r="X1" s="20" t="s">
        <v>149</v>
      </c>
      <c r="Y1" s="20" t="s">
        <v>148</v>
      </c>
      <c r="Z1" s="20" t="s">
        <v>147</v>
      </c>
    </row>
    <row r="2" spans="1:26" x14ac:dyDescent="0.4">
      <c r="A2" t="s">
        <v>7</v>
      </c>
      <c r="B2">
        <v>0</v>
      </c>
      <c r="C2">
        <v>0</v>
      </c>
      <c r="D2">
        <v>0</v>
      </c>
      <c r="E2">
        <v>0</v>
      </c>
      <c r="F2">
        <v>0</v>
      </c>
      <c r="G2">
        <v>0</v>
      </c>
      <c r="H2">
        <v>0</v>
      </c>
      <c r="I2">
        <v>0.30037446493094933</v>
      </c>
      <c r="J2">
        <v>0</v>
      </c>
      <c r="K2">
        <v>0</v>
      </c>
      <c r="L2">
        <v>0</v>
      </c>
      <c r="M2">
        <v>0.69962553506905067</v>
      </c>
      <c r="N2">
        <v>0</v>
      </c>
      <c r="O2">
        <v>0</v>
      </c>
      <c r="P2">
        <v>0</v>
      </c>
      <c r="Q2">
        <v>0</v>
      </c>
      <c r="R2">
        <v>0</v>
      </c>
      <c r="S2">
        <v>0</v>
      </c>
      <c r="T2">
        <v>0</v>
      </c>
      <c r="U2">
        <v>0</v>
      </c>
      <c r="V2">
        <v>0</v>
      </c>
      <c r="W2">
        <v>0</v>
      </c>
      <c r="X2">
        <v>0</v>
      </c>
      <c r="Y2">
        <v>0</v>
      </c>
      <c r="Z2">
        <v>0</v>
      </c>
    </row>
    <row r="3" spans="1:26" x14ac:dyDescent="0.4">
      <c r="A3" t="s">
        <v>11</v>
      </c>
      <c r="B3">
        <v>0</v>
      </c>
      <c r="C3">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row>
    <row r="4" spans="1:26" x14ac:dyDescent="0.4">
      <c r="A4" t="s">
        <v>12</v>
      </c>
      <c r="B4">
        <v>0</v>
      </c>
      <c r="C4">
        <v>0</v>
      </c>
      <c r="D4">
        <v>0</v>
      </c>
      <c r="E4">
        <v>0</v>
      </c>
      <c r="F4">
        <v>0</v>
      </c>
      <c r="G4">
        <v>0</v>
      </c>
      <c r="H4">
        <v>0</v>
      </c>
      <c r="I4">
        <v>0.86261539079978233</v>
      </c>
      <c r="J4">
        <v>0</v>
      </c>
      <c r="K4">
        <v>0</v>
      </c>
      <c r="L4">
        <v>0</v>
      </c>
      <c r="M4">
        <v>0</v>
      </c>
      <c r="N4">
        <v>0</v>
      </c>
      <c r="O4">
        <v>0</v>
      </c>
      <c r="P4">
        <v>0</v>
      </c>
      <c r="Q4">
        <v>0</v>
      </c>
      <c r="R4">
        <v>0</v>
      </c>
      <c r="S4">
        <v>0</v>
      </c>
      <c r="T4">
        <v>0</v>
      </c>
      <c r="U4">
        <v>0</v>
      </c>
      <c r="V4">
        <v>0</v>
      </c>
      <c r="W4">
        <v>0</v>
      </c>
      <c r="X4">
        <v>0</v>
      </c>
      <c r="Y4">
        <v>0.13738460920021769</v>
      </c>
      <c r="Z4">
        <v>0</v>
      </c>
    </row>
    <row r="5" spans="1:26" x14ac:dyDescent="0.4">
      <c r="A5" t="s">
        <v>13</v>
      </c>
      <c r="B5">
        <v>0</v>
      </c>
      <c r="C5">
        <v>0</v>
      </c>
      <c r="D5">
        <v>0</v>
      </c>
      <c r="E5">
        <v>0</v>
      </c>
      <c r="F5">
        <v>0</v>
      </c>
      <c r="G5">
        <v>0</v>
      </c>
      <c r="H5">
        <v>0</v>
      </c>
      <c r="I5">
        <v>0.73417721518987367</v>
      </c>
      <c r="J5">
        <v>0</v>
      </c>
      <c r="K5">
        <v>0</v>
      </c>
      <c r="L5">
        <v>0</v>
      </c>
      <c r="M5">
        <v>0.26582278481012628</v>
      </c>
      <c r="N5">
        <v>0</v>
      </c>
      <c r="O5">
        <v>0</v>
      </c>
      <c r="P5">
        <v>0</v>
      </c>
      <c r="Q5">
        <v>0</v>
      </c>
      <c r="R5">
        <v>0</v>
      </c>
      <c r="S5">
        <v>0</v>
      </c>
      <c r="T5">
        <v>0</v>
      </c>
      <c r="U5">
        <v>0</v>
      </c>
      <c r="V5">
        <v>0</v>
      </c>
      <c r="W5">
        <v>0</v>
      </c>
      <c r="X5">
        <v>0</v>
      </c>
      <c r="Y5">
        <v>0</v>
      </c>
      <c r="Z5">
        <v>0</v>
      </c>
    </row>
    <row r="6" spans="1:26" x14ac:dyDescent="0.4">
      <c r="A6" t="s">
        <v>14</v>
      </c>
      <c r="B6">
        <v>0</v>
      </c>
      <c r="C6">
        <v>0</v>
      </c>
      <c r="D6">
        <v>0</v>
      </c>
      <c r="E6">
        <v>0</v>
      </c>
      <c r="F6">
        <v>1</v>
      </c>
      <c r="G6">
        <v>0</v>
      </c>
      <c r="H6">
        <v>0</v>
      </c>
      <c r="I6">
        <v>0</v>
      </c>
      <c r="J6">
        <v>0</v>
      </c>
      <c r="K6">
        <v>0</v>
      </c>
      <c r="L6">
        <v>0</v>
      </c>
      <c r="M6">
        <v>0</v>
      </c>
      <c r="N6">
        <v>0</v>
      </c>
      <c r="O6">
        <v>0</v>
      </c>
      <c r="P6">
        <v>0</v>
      </c>
      <c r="Q6">
        <v>0</v>
      </c>
      <c r="R6">
        <v>0</v>
      </c>
      <c r="S6">
        <v>0</v>
      </c>
      <c r="T6">
        <v>0</v>
      </c>
      <c r="U6">
        <v>0</v>
      </c>
      <c r="V6">
        <v>0</v>
      </c>
      <c r="W6">
        <v>0</v>
      </c>
      <c r="X6">
        <v>0</v>
      </c>
      <c r="Y6">
        <v>0</v>
      </c>
      <c r="Z6">
        <v>0</v>
      </c>
    </row>
    <row r="7" spans="1:26" x14ac:dyDescent="0.4">
      <c r="A7" t="s">
        <v>16</v>
      </c>
      <c r="B7">
        <v>0</v>
      </c>
      <c r="C7">
        <v>0</v>
      </c>
      <c r="D7">
        <v>0</v>
      </c>
      <c r="E7">
        <v>0</v>
      </c>
      <c r="F7">
        <v>0</v>
      </c>
      <c r="G7">
        <v>0</v>
      </c>
      <c r="H7">
        <v>0</v>
      </c>
      <c r="I7">
        <v>0.61954717859934871</v>
      </c>
      <c r="J7">
        <v>0</v>
      </c>
      <c r="K7">
        <v>0</v>
      </c>
      <c r="L7">
        <v>0</v>
      </c>
      <c r="M7">
        <v>0.38045282140065118</v>
      </c>
      <c r="N7">
        <v>0</v>
      </c>
      <c r="O7">
        <v>0</v>
      </c>
      <c r="P7">
        <v>0</v>
      </c>
      <c r="Q7">
        <v>0</v>
      </c>
      <c r="R7">
        <v>0</v>
      </c>
      <c r="S7">
        <v>0</v>
      </c>
      <c r="T7">
        <v>0</v>
      </c>
      <c r="U7">
        <v>0</v>
      </c>
      <c r="V7">
        <v>0</v>
      </c>
      <c r="W7">
        <v>0</v>
      </c>
      <c r="X7">
        <v>0</v>
      </c>
      <c r="Y7">
        <v>0</v>
      </c>
      <c r="Z7">
        <v>0</v>
      </c>
    </row>
    <row r="8" spans="1:26" x14ac:dyDescent="0.4">
      <c r="A8" t="s">
        <v>17</v>
      </c>
      <c r="B8">
        <v>0</v>
      </c>
      <c r="C8">
        <v>0</v>
      </c>
      <c r="D8">
        <v>0</v>
      </c>
      <c r="E8">
        <v>0</v>
      </c>
      <c r="F8">
        <v>0</v>
      </c>
      <c r="G8">
        <v>0</v>
      </c>
      <c r="H8">
        <v>1</v>
      </c>
      <c r="I8">
        <v>0</v>
      </c>
      <c r="J8">
        <v>0</v>
      </c>
      <c r="K8">
        <v>0</v>
      </c>
      <c r="L8">
        <v>0</v>
      </c>
      <c r="M8">
        <v>0</v>
      </c>
      <c r="N8">
        <v>0</v>
      </c>
      <c r="O8">
        <v>0</v>
      </c>
      <c r="P8">
        <v>0</v>
      </c>
      <c r="Q8">
        <v>0</v>
      </c>
      <c r="R8">
        <v>0</v>
      </c>
      <c r="S8">
        <v>0</v>
      </c>
      <c r="T8">
        <v>0</v>
      </c>
      <c r="U8">
        <v>0</v>
      </c>
      <c r="V8">
        <v>0</v>
      </c>
      <c r="W8">
        <v>0</v>
      </c>
      <c r="X8">
        <v>0</v>
      </c>
      <c r="Y8">
        <v>0</v>
      </c>
      <c r="Z8">
        <v>0</v>
      </c>
    </row>
    <row r="9" spans="1:26" x14ac:dyDescent="0.4">
      <c r="A9" t="s">
        <v>20</v>
      </c>
      <c r="B9">
        <v>0</v>
      </c>
      <c r="C9">
        <v>0</v>
      </c>
      <c r="D9">
        <v>0</v>
      </c>
      <c r="E9">
        <v>0</v>
      </c>
      <c r="F9">
        <v>0</v>
      </c>
      <c r="G9">
        <v>0</v>
      </c>
      <c r="H9">
        <v>0</v>
      </c>
      <c r="I9">
        <v>1</v>
      </c>
      <c r="J9">
        <v>0</v>
      </c>
      <c r="K9">
        <v>0</v>
      </c>
      <c r="L9">
        <v>0</v>
      </c>
      <c r="M9">
        <v>0</v>
      </c>
      <c r="N9">
        <v>0</v>
      </c>
      <c r="O9">
        <v>0</v>
      </c>
      <c r="P9">
        <v>0</v>
      </c>
      <c r="Q9">
        <v>0</v>
      </c>
      <c r="R9">
        <v>0</v>
      </c>
      <c r="S9">
        <v>0</v>
      </c>
      <c r="T9">
        <v>0</v>
      </c>
      <c r="U9">
        <v>0</v>
      </c>
      <c r="V9">
        <v>0</v>
      </c>
      <c r="W9">
        <v>0</v>
      </c>
      <c r="X9">
        <v>0</v>
      </c>
      <c r="Y9">
        <v>0</v>
      </c>
      <c r="Z9">
        <v>0</v>
      </c>
    </row>
    <row r="10" spans="1:26" x14ac:dyDescent="0.4">
      <c r="A10" t="s">
        <v>21</v>
      </c>
      <c r="B10">
        <v>0</v>
      </c>
      <c r="C10">
        <v>0</v>
      </c>
      <c r="D10">
        <v>0</v>
      </c>
      <c r="E10">
        <v>0</v>
      </c>
      <c r="F10">
        <v>0</v>
      </c>
      <c r="G10">
        <v>0</v>
      </c>
      <c r="H10">
        <v>0</v>
      </c>
      <c r="I10">
        <v>0.4521011847832449</v>
      </c>
      <c r="J10">
        <v>0</v>
      </c>
      <c r="K10">
        <v>0</v>
      </c>
      <c r="L10">
        <v>0</v>
      </c>
      <c r="M10">
        <v>0.5478988152167551</v>
      </c>
      <c r="N10">
        <v>0</v>
      </c>
      <c r="O10">
        <v>0</v>
      </c>
      <c r="P10">
        <v>0</v>
      </c>
      <c r="Q10">
        <v>0</v>
      </c>
      <c r="R10">
        <v>0</v>
      </c>
      <c r="S10">
        <v>0</v>
      </c>
      <c r="T10">
        <v>0</v>
      </c>
      <c r="U10">
        <v>0</v>
      </c>
      <c r="V10">
        <v>0</v>
      </c>
      <c r="W10">
        <v>0</v>
      </c>
      <c r="X10">
        <v>0</v>
      </c>
      <c r="Y10">
        <v>0</v>
      </c>
      <c r="Z10">
        <v>0</v>
      </c>
    </row>
    <row r="11" spans="1:26" x14ac:dyDescent="0.4">
      <c r="A11" t="s">
        <v>24</v>
      </c>
      <c r="B11">
        <v>0</v>
      </c>
      <c r="C11">
        <v>0</v>
      </c>
      <c r="D11">
        <v>0</v>
      </c>
      <c r="E11">
        <v>0</v>
      </c>
      <c r="F11">
        <v>0</v>
      </c>
      <c r="G11">
        <v>0</v>
      </c>
      <c r="H11">
        <v>0</v>
      </c>
      <c r="I11">
        <v>0.51504170581294861</v>
      </c>
      <c r="J11">
        <v>0</v>
      </c>
      <c r="K11">
        <v>0</v>
      </c>
      <c r="L11">
        <v>0</v>
      </c>
      <c r="M11">
        <v>0.48495829418705128</v>
      </c>
      <c r="N11">
        <v>0</v>
      </c>
      <c r="O11">
        <v>0</v>
      </c>
      <c r="P11">
        <v>0</v>
      </c>
      <c r="Q11">
        <v>0</v>
      </c>
      <c r="R11">
        <v>0</v>
      </c>
      <c r="S11">
        <v>0</v>
      </c>
      <c r="T11">
        <v>0</v>
      </c>
      <c r="U11">
        <v>0</v>
      </c>
      <c r="V11">
        <v>0</v>
      </c>
      <c r="W11">
        <v>0</v>
      </c>
      <c r="X11">
        <v>0</v>
      </c>
      <c r="Y11">
        <v>0</v>
      </c>
      <c r="Z11">
        <v>0</v>
      </c>
    </row>
    <row r="12" spans="1:26" x14ac:dyDescent="0.4">
      <c r="A12" t="s">
        <v>22</v>
      </c>
      <c r="B12">
        <v>0</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row>
    <row r="13" spans="1:26" x14ac:dyDescent="0.4">
      <c r="A13" t="s">
        <v>26</v>
      </c>
      <c r="B13">
        <v>0</v>
      </c>
      <c r="C13">
        <v>0</v>
      </c>
      <c r="D13">
        <v>0</v>
      </c>
      <c r="E13">
        <v>0</v>
      </c>
      <c r="F13">
        <v>0</v>
      </c>
      <c r="G13">
        <v>0</v>
      </c>
      <c r="H13">
        <v>0</v>
      </c>
      <c r="I13">
        <v>0</v>
      </c>
      <c r="J13">
        <v>0</v>
      </c>
      <c r="K13">
        <v>0</v>
      </c>
      <c r="L13">
        <v>0</v>
      </c>
      <c r="M13">
        <v>1</v>
      </c>
      <c r="N13">
        <v>0</v>
      </c>
      <c r="O13">
        <v>0</v>
      </c>
      <c r="P13">
        <v>0</v>
      </c>
      <c r="Q13">
        <v>0</v>
      </c>
      <c r="R13">
        <v>0</v>
      </c>
      <c r="S13">
        <v>0</v>
      </c>
      <c r="T13">
        <v>0</v>
      </c>
      <c r="U13">
        <v>0</v>
      </c>
      <c r="V13">
        <v>0</v>
      </c>
      <c r="W13">
        <v>0</v>
      </c>
      <c r="X13">
        <v>0</v>
      </c>
      <c r="Y13">
        <v>0</v>
      </c>
      <c r="Z13">
        <v>0</v>
      </c>
    </row>
    <row r="14" spans="1:26" x14ac:dyDescent="0.4">
      <c r="A14" t="s">
        <v>28</v>
      </c>
      <c r="B14">
        <v>0</v>
      </c>
      <c r="C14">
        <v>0</v>
      </c>
      <c r="D14">
        <v>0</v>
      </c>
      <c r="E14">
        <v>0</v>
      </c>
      <c r="F14">
        <v>0</v>
      </c>
      <c r="G14">
        <v>0</v>
      </c>
      <c r="H14">
        <v>0</v>
      </c>
      <c r="I14">
        <v>0.52146077723342543</v>
      </c>
      <c r="J14">
        <v>0</v>
      </c>
      <c r="K14">
        <v>0</v>
      </c>
      <c r="L14">
        <v>0</v>
      </c>
      <c r="M14">
        <v>0.47853922276657462</v>
      </c>
      <c r="N14">
        <v>0</v>
      </c>
      <c r="O14">
        <v>0</v>
      </c>
      <c r="P14">
        <v>0</v>
      </c>
      <c r="Q14">
        <v>0</v>
      </c>
      <c r="R14">
        <v>0</v>
      </c>
      <c r="S14">
        <v>0</v>
      </c>
      <c r="T14">
        <v>0</v>
      </c>
      <c r="U14">
        <v>0</v>
      </c>
      <c r="V14">
        <v>0</v>
      </c>
      <c r="W14">
        <v>0</v>
      </c>
      <c r="X14">
        <v>0</v>
      </c>
      <c r="Y14">
        <v>0</v>
      </c>
      <c r="Z14">
        <v>0</v>
      </c>
    </row>
    <row r="15" spans="1:26" x14ac:dyDescent="0.4">
      <c r="A15" t="s">
        <v>29</v>
      </c>
      <c r="B15">
        <v>0</v>
      </c>
      <c r="C15">
        <v>0</v>
      </c>
      <c r="D15">
        <v>0</v>
      </c>
      <c r="E15">
        <v>0</v>
      </c>
      <c r="F15">
        <v>0</v>
      </c>
      <c r="G15">
        <v>0</v>
      </c>
      <c r="H15">
        <v>0</v>
      </c>
      <c r="I15">
        <v>0.92911392405063309</v>
      </c>
      <c r="J15">
        <v>0</v>
      </c>
      <c r="K15">
        <v>0</v>
      </c>
      <c r="L15">
        <v>0</v>
      </c>
      <c r="M15">
        <v>7.0886075949366911E-2</v>
      </c>
      <c r="N15">
        <v>0</v>
      </c>
      <c r="O15">
        <v>0</v>
      </c>
      <c r="P15">
        <v>0</v>
      </c>
      <c r="Q15">
        <v>0</v>
      </c>
      <c r="R15">
        <v>0</v>
      </c>
      <c r="S15">
        <v>0</v>
      </c>
      <c r="T15">
        <v>0</v>
      </c>
      <c r="U15">
        <v>0</v>
      </c>
      <c r="V15">
        <v>0</v>
      </c>
      <c r="W15">
        <v>0</v>
      </c>
      <c r="X15">
        <v>0</v>
      </c>
      <c r="Y15">
        <v>0</v>
      </c>
      <c r="Z15">
        <v>0</v>
      </c>
    </row>
    <row r="16" spans="1:26" x14ac:dyDescent="0.4">
      <c r="A16" t="s">
        <v>30</v>
      </c>
      <c r="B16">
        <v>0</v>
      </c>
      <c r="C16">
        <v>0</v>
      </c>
      <c r="D16">
        <v>0</v>
      </c>
      <c r="E16">
        <v>0</v>
      </c>
      <c r="F16">
        <v>0</v>
      </c>
      <c r="G16">
        <v>0</v>
      </c>
      <c r="H16">
        <v>0</v>
      </c>
      <c r="I16">
        <v>0</v>
      </c>
      <c r="J16">
        <v>0</v>
      </c>
      <c r="K16">
        <v>0</v>
      </c>
      <c r="L16">
        <v>0</v>
      </c>
      <c r="M16">
        <v>1</v>
      </c>
      <c r="N16">
        <v>0</v>
      </c>
      <c r="O16">
        <v>0</v>
      </c>
      <c r="P16">
        <v>0</v>
      </c>
      <c r="Q16">
        <v>0</v>
      </c>
      <c r="R16">
        <v>0</v>
      </c>
      <c r="S16">
        <v>0</v>
      </c>
      <c r="T16">
        <v>0</v>
      </c>
      <c r="U16">
        <v>0</v>
      </c>
      <c r="V16">
        <v>0</v>
      </c>
      <c r="W16">
        <v>0</v>
      </c>
      <c r="X16">
        <v>0</v>
      </c>
      <c r="Y16">
        <v>0</v>
      </c>
      <c r="Z16">
        <v>0</v>
      </c>
    </row>
    <row r="17" spans="1:26" x14ac:dyDescent="0.4">
      <c r="A17" t="s">
        <v>33</v>
      </c>
      <c r="B17">
        <v>0</v>
      </c>
      <c r="C17">
        <v>0</v>
      </c>
      <c r="D17">
        <v>0</v>
      </c>
      <c r="E17">
        <v>0</v>
      </c>
      <c r="F17">
        <v>0</v>
      </c>
      <c r="G17">
        <v>0</v>
      </c>
      <c r="H17">
        <v>0</v>
      </c>
      <c r="I17">
        <v>0</v>
      </c>
      <c r="J17">
        <v>0</v>
      </c>
      <c r="K17">
        <v>0</v>
      </c>
      <c r="L17">
        <v>0</v>
      </c>
      <c r="M17">
        <v>0</v>
      </c>
      <c r="N17">
        <v>0</v>
      </c>
      <c r="O17">
        <v>0</v>
      </c>
      <c r="P17">
        <v>0</v>
      </c>
      <c r="Q17">
        <v>1</v>
      </c>
      <c r="R17">
        <v>0</v>
      </c>
      <c r="S17">
        <v>0</v>
      </c>
      <c r="T17">
        <v>0</v>
      </c>
      <c r="U17">
        <v>0</v>
      </c>
      <c r="V17">
        <v>0</v>
      </c>
      <c r="W17">
        <v>0</v>
      </c>
      <c r="X17">
        <v>0</v>
      </c>
      <c r="Y17">
        <v>0</v>
      </c>
      <c r="Z17">
        <v>0</v>
      </c>
    </row>
    <row r="18" spans="1:26" x14ac:dyDescent="0.4">
      <c r="A18" t="s">
        <v>34</v>
      </c>
      <c r="B18">
        <v>0</v>
      </c>
      <c r="C18">
        <v>0</v>
      </c>
      <c r="D18">
        <v>0</v>
      </c>
      <c r="E18">
        <v>0</v>
      </c>
      <c r="F18">
        <v>0</v>
      </c>
      <c r="G18">
        <v>0</v>
      </c>
      <c r="H18">
        <v>0</v>
      </c>
      <c r="I18">
        <v>1</v>
      </c>
      <c r="J18">
        <v>0</v>
      </c>
      <c r="K18">
        <v>0</v>
      </c>
      <c r="L18">
        <v>0</v>
      </c>
      <c r="M18">
        <v>0</v>
      </c>
      <c r="N18">
        <v>0</v>
      </c>
      <c r="O18">
        <v>0</v>
      </c>
      <c r="P18">
        <v>0</v>
      </c>
      <c r="Q18">
        <v>0</v>
      </c>
      <c r="R18">
        <v>0</v>
      </c>
      <c r="S18">
        <v>0</v>
      </c>
      <c r="T18">
        <v>0</v>
      </c>
      <c r="U18">
        <v>0</v>
      </c>
      <c r="V18">
        <v>0</v>
      </c>
      <c r="W18">
        <v>0</v>
      </c>
      <c r="X18">
        <v>0</v>
      </c>
      <c r="Y18">
        <v>0</v>
      </c>
      <c r="Z18">
        <v>0</v>
      </c>
    </row>
    <row r="19" spans="1:26" x14ac:dyDescent="0.4">
      <c r="A19" t="s">
        <v>35</v>
      </c>
      <c r="B19">
        <v>0</v>
      </c>
      <c r="C19">
        <v>0</v>
      </c>
      <c r="D19">
        <v>0</v>
      </c>
      <c r="E19">
        <v>0</v>
      </c>
      <c r="F19">
        <v>0</v>
      </c>
      <c r="G19">
        <v>0</v>
      </c>
      <c r="H19">
        <v>0</v>
      </c>
      <c r="I19">
        <v>0.48869413065044948</v>
      </c>
      <c r="J19">
        <v>0</v>
      </c>
      <c r="K19">
        <v>0</v>
      </c>
      <c r="L19">
        <v>0</v>
      </c>
      <c r="M19">
        <v>1.253769314029355E-2</v>
      </c>
      <c r="N19">
        <v>0</v>
      </c>
      <c r="O19">
        <v>0</v>
      </c>
      <c r="P19">
        <v>0</v>
      </c>
      <c r="Q19">
        <v>0</v>
      </c>
      <c r="R19">
        <v>0</v>
      </c>
      <c r="S19">
        <v>0</v>
      </c>
      <c r="T19">
        <v>0</v>
      </c>
      <c r="U19">
        <v>0</v>
      </c>
      <c r="V19">
        <v>0</v>
      </c>
      <c r="W19">
        <v>0</v>
      </c>
      <c r="X19">
        <v>0</v>
      </c>
      <c r="Y19">
        <v>0.4987681762092569</v>
      </c>
      <c r="Z19">
        <v>0</v>
      </c>
    </row>
    <row r="20" spans="1:26" x14ac:dyDescent="0.4">
      <c r="A20" t="s">
        <v>38</v>
      </c>
      <c r="B20">
        <v>0</v>
      </c>
      <c r="C20">
        <v>0</v>
      </c>
      <c r="D20">
        <v>0</v>
      </c>
      <c r="E20">
        <v>0</v>
      </c>
      <c r="F20">
        <v>0</v>
      </c>
      <c r="G20">
        <v>0</v>
      </c>
      <c r="H20">
        <v>0</v>
      </c>
      <c r="I20">
        <v>1</v>
      </c>
      <c r="J20">
        <v>0</v>
      </c>
      <c r="K20">
        <v>0</v>
      </c>
      <c r="L20">
        <v>0</v>
      </c>
      <c r="M20">
        <v>0</v>
      </c>
      <c r="N20">
        <v>0</v>
      </c>
      <c r="O20">
        <v>0</v>
      </c>
      <c r="P20">
        <v>0</v>
      </c>
      <c r="Q20">
        <v>0</v>
      </c>
      <c r="R20">
        <v>0</v>
      </c>
      <c r="S20">
        <v>0</v>
      </c>
      <c r="T20">
        <v>0</v>
      </c>
      <c r="U20">
        <v>0</v>
      </c>
      <c r="V20">
        <v>0</v>
      </c>
      <c r="W20">
        <v>0</v>
      </c>
      <c r="X20">
        <v>0</v>
      </c>
      <c r="Y20">
        <v>0</v>
      </c>
      <c r="Z20">
        <v>0</v>
      </c>
    </row>
    <row r="21" spans="1:26" x14ac:dyDescent="0.4">
      <c r="A21" t="s">
        <v>40</v>
      </c>
      <c r="B21">
        <v>0</v>
      </c>
      <c r="C21">
        <v>0</v>
      </c>
      <c r="D21">
        <v>0</v>
      </c>
      <c r="E21">
        <v>0</v>
      </c>
      <c r="F21">
        <v>0</v>
      </c>
      <c r="G21">
        <v>0</v>
      </c>
      <c r="H21">
        <v>9.7402597402597227E-3</v>
      </c>
      <c r="I21">
        <v>0.99025974025974028</v>
      </c>
      <c r="J21">
        <v>0</v>
      </c>
      <c r="K21">
        <v>0</v>
      </c>
      <c r="L21">
        <v>0</v>
      </c>
      <c r="M21">
        <v>0</v>
      </c>
      <c r="N21">
        <v>0</v>
      </c>
      <c r="O21">
        <v>0</v>
      </c>
      <c r="P21">
        <v>0</v>
      </c>
      <c r="Q21">
        <v>0</v>
      </c>
      <c r="R21">
        <v>0</v>
      </c>
      <c r="S21">
        <v>0</v>
      </c>
      <c r="T21">
        <v>0</v>
      </c>
      <c r="U21">
        <v>0</v>
      </c>
      <c r="V21">
        <v>0</v>
      </c>
      <c r="W21">
        <v>0</v>
      </c>
      <c r="X21">
        <v>0</v>
      </c>
      <c r="Y21">
        <v>0</v>
      </c>
      <c r="Z21">
        <v>0</v>
      </c>
    </row>
    <row r="22" spans="1:26" x14ac:dyDescent="0.4">
      <c r="A22" t="s">
        <v>41</v>
      </c>
      <c r="B22">
        <v>0</v>
      </c>
      <c r="C22">
        <v>0</v>
      </c>
      <c r="D22">
        <v>0</v>
      </c>
      <c r="E22">
        <v>0</v>
      </c>
      <c r="F22">
        <v>0</v>
      </c>
      <c r="G22">
        <v>0</v>
      </c>
      <c r="H22">
        <v>0.53138528138528129</v>
      </c>
      <c r="I22">
        <v>0.46861471861471871</v>
      </c>
      <c r="J22">
        <v>0</v>
      </c>
      <c r="K22">
        <v>0</v>
      </c>
      <c r="L22">
        <v>0</v>
      </c>
      <c r="M22">
        <v>0</v>
      </c>
      <c r="N22">
        <v>0</v>
      </c>
      <c r="O22">
        <v>0</v>
      </c>
      <c r="P22">
        <v>0</v>
      </c>
      <c r="Q22">
        <v>0</v>
      </c>
      <c r="R22">
        <v>0</v>
      </c>
      <c r="S22">
        <v>0</v>
      </c>
      <c r="T22">
        <v>0</v>
      </c>
      <c r="U22">
        <v>0</v>
      </c>
      <c r="V22">
        <v>0</v>
      </c>
      <c r="W22">
        <v>0</v>
      </c>
      <c r="X22">
        <v>0</v>
      </c>
      <c r="Y22">
        <v>0</v>
      </c>
      <c r="Z22">
        <v>0</v>
      </c>
    </row>
    <row r="23" spans="1:26" x14ac:dyDescent="0.4">
      <c r="A23" t="s">
        <v>43</v>
      </c>
      <c r="B23">
        <v>0</v>
      </c>
      <c r="C23">
        <v>0</v>
      </c>
      <c r="D23">
        <v>0</v>
      </c>
      <c r="E23">
        <v>0</v>
      </c>
      <c r="F23">
        <v>0</v>
      </c>
      <c r="G23">
        <v>0</v>
      </c>
      <c r="H23">
        <v>0</v>
      </c>
      <c r="I23">
        <v>1</v>
      </c>
      <c r="J23">
        <v>0</v>
      </c>
      <c r="K23">
        <v>0</v>
      </c>
      <c r="L23">
        <v>0</v>
      </c>
      <c r="M23">
        <v>0</v>
      </c>
      <c r="N23">
        <v>0</v>
      </c>
      <c r="O23">
        <v>0</v>
      </c>
      <c r="P23">
        <v>0</v>
      </c>
      <c r="Q23">
        <v>0</v>
      </c>
      <c r="R23">
        <v>0</v>
      </c>
      <c r="S23">
        <v>0</v>
      </c>
      <c r="T23">
        <v>0</v>
      </c>
      <c r="U23">
        <v>0</v>
      </c>
      <c r="V23">
        <v>0</v>
      </c>
      <c r="W23">
        <v>0</v>
      </c>
      <c r="X23">
        <v>0</v>
      </c>
      <c r="Y23">
        <v>0</v>
      </c>
      <c r="Z23">
        <v>0</v>
      </c>
    </row>
    <row r="24" spans="1:26" x14ac:dyDescent="0.4">
      <c r="A24" t="s">
        <v>48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1</v>
      </c>
      <c r="Y24">
        <v>0</v>
      </c>
      <c r="Z24">
        <v>0</v>
      </c>
    </row>
    <row r="25" spans="1:26" x14ac:dyDescent="0.4">
      <c r="A25" t="s">
        <v>49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1</v>
      </c>
      <c r="Z25">
        <v>0</v>
      </c>
    </row>
    <row r="26" spans="1:26" x14ac:dyDescent="0.4">
      <c r="A26" t="s">
        <v>50</v>
      </c>
      <c r="B26">
        <v>0</v>
      </c>
      <c r="C26">
        <v>0</v>
      </c>
      <c r="D26">
        <v>0</v>
      </c>
      <c r="E26">
        <v>0</v>
      </c>
      <c r="F26">
        <v>0</v>
      </c>
      <c r="G26">
        <v>0</v>
      </c>
      <c r="H26">
        <v>0</v>
      </c>
      <c r="I26">
        <v>0.5265822784810128</v>
      </c>
      <c r="J26">
        <v>0</v>
      </c>
      <c r="K26">
        <v>0</v>
      </c>
      <c r="L26">
        <v>0</v>
      </c>
      <c r="M26">
        <v>0.4734177215189872</v>
      </c>
      <c r="N26">
        <v>0</v>
      </c>
      <c r="O26">
        <v>0</v>
      </c>
      <c r="P26">
        <v>0</v>
      </c>
      <c r="Q26">
        <v>0</v>
      </c>
      <c r="R26">
        <v>0</v>
      </c>
      <c r="S26">
        <v>0</v>
      </c>
      <c r="T26">
        <v>0</v>
      </c>
      <c r="U26">
        <v>0</v>
      </c>
      <c r="V26">
        <v>0</v>
      </c>
      <c r="W26">
        <v>0</v>
      </c>
      <c r="X26">
        <v>0</v>
      </c>
      <c r="Y26">
        <v>0</v>
      </c>
      <c r="Z26">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N10"/>
  <sheetViews>
    <sheetView topLeftCell="A4" zoomScale="64" zoomScaleNormal="55" workbookViewId="0">
      <selection activeCell="D5" sqref="D5"/>
    </sheetView>
  </sheetViews>
  <sheetFormatPr defaultRowHeight="14.6" x14ac:dyDescent="0.4"/>
  <cols>
    <col min="1" max="1" width="26" customWidth="1"/>
    <col min="2" max="2" width="53.15234375" customWidth="1"/>
    <col min="3" max="3" width="83" customWidth="1"/>
    <col min="4" max="4" width="23.3828125" customWidth="1"/>
    <col min="5" max="5" width="31" customWidth="1"/>
    <col min="6" max="6" width="44.15234375" style="8" customWidth="1"/>
    <col min="8" max="8" width="9.3046875" style="8" customWidth="1"/>
    <col min="9" max="9" width="15.84375" style="8" customWidth="1"/>
    <col min="10" max="10" width="11.3828125" style="8" customWidth="1"/>
    <col min="11" max="11" width="19.84375" style="8" customWidth="1"/>
    <col min="12" max="12" width="12.3828125" style="8" customWidth="1"/>
    <col min="13" max="13" width="9.3046875" style="8" customWidth="1"/>
  </cols>
  <sheetData>
    <row r="1" spans="1:14" ht="29.15" customHeight="1" x14ac:dyDescent="0.4">
      <c r="A1" s="7" t="s">
        <v>51</v>
      </c>
      <c r="B1" s="1" t="s">
        <v>52</v>
      </c>
      <c r="C1" s="1" t="s">
        <v>53</v>
      </c>
      <c r="D1" s="1" t="s">
        <v>54</v>
      </c>
      <c r="E1" s="1" t="s">
        <v>55</v>
      </c>
      <c r="F1" s="1" t="s">
        <v>56</v>
      </c>
      <c r="G1" s="1" t="s">
        <v>57</v>
      </c>
      <c r="H1" s="7" t="s">
        <v>58</v>
      </c>
      <c r="I1" s="7" t="s">
        <v>59</v>
      </c>
      <c r="J1" s="7" t="s">
        <v>60</v>
      </c>
      <c r="K1" s="7" t="s">
        <v>61</v>
      </c>
      <c r="L1" s="7" t="s">
        <v>62</v>
      </c>
      <c r="M1" s="7" t="s">
        <v>63</v>
      </c>
      <c r="N1" s="8"/>
    </row>
    <row r="2" spans="1:14" ht="87.45" customHeight="1" x14ac:dyDescent="0.4">
      <c r="A2" s="7" t="s">
        <v>64</v>
      </c>
      <c r="B2" s="1" t="s">
        <v>65</v>
      </c>
      <c r="C2" s="1" t="s">
        <v>66</v>
      </c>
      <c r="D2" s="1" t="s">
        <v>67</v>
      </c>
      <c r="E2" s="1"/>
      <c r="F2" s="7" t="s">
        <v>68</v>
      </c>
      <c r="G2" s="1" t="s">
        <v>69</v>
      </c>
      <c r="H2" s="7" t="s">
        <v>70</v>
      </c>
      <c r="I2" s="7"/>
      <c r="J2" s="7"/>
      <c r="K2" s="7" t="s">
        <v>71</v>
      </c>
      <c r="L2" s="7" t="s">
        <v>72</v>
      </c>
      <c r="M2" s="7" t="s">
        <v>73</v>
      </c>
      <c r="N2" s="8"/>
    </row>
    <row r="3" spans="1:14" ht="145.75" customHeight="1" x14ac:dyDescent="0.4">
      <c r="A3" s="7"/>
      <c r="B3" s="1" t="s">
        <v>74</v>
      </c>
      <c r="C3" s="1" t="s">
        <v>75</v>
      </c>
      <c r="D3" s="1" t="s">
        <v>76</v>
      </c>
      <c r="E3" s="1"/>
      <c r="F3" s="7" t="s">
        <v>77</v>
      </c>
      <c r="G3" s="1" t="s">
        <v>78</v>
      </c>
      <c r="H3" s="7" t="s">
        <v>79</v>
      </c>
      <c r="I3" s="7"/>
      <c r="J3" s="7"/>
      <c r="K3" s="7" t="s">
        <v>71</v>
      </c>
      <c r="L3" s="7" t="s">
        <v>72</v>
      </c>
      <c r="M3" s="7" t="s">
        <v>80</v>
      </c>
      <c r="N3" s="8"/>
    </row>
    <row r="4" spans="1:14" ht="160.4" customHeight="1" x14ac:dyDescent="0.4">
      <c r="A4" s="7"/>
      <c r="B4" s="1" t="s">
        <v>81</v>
      </c>
      <c r="C4" s="1" t="s">
        <v>75</v>
      </c>
      <c r="D4" s="1" t="s">
        <v>82</v>
      </c>
      <c r="E4" s="1"/>
      <c r="F4" s="7" t="s">
        <v>83</v>
      </c>
      <c r="G4" s="1" t="s">
        <v>78</v>
      </c>
      <c r="H4" s="7" t="s">
        <v>84</v>
      </c>
      <c r="I4" s="7"/>
      <c r="J4" s="7"/>
      <c r="K4" s="7" t="s">
        <v>71</v>
      </c>
      <c r="L4" s="7" t="s">
        <v>72</v>
      </c>
      <c r="M4" s="7" t="s">
        <v>80</v>
      </c>
      <c r="N4" s="8"/>
    </row>
    <row r="5" spans="1:14" ht="102" customHeight="1" x14ac:dyDescent="0.4">
      <c r="A5" s="7"/>
      <c r="B5" s="1" t="s">
        <v>85</v>
      </c>
      <c r="C5" s="1" t="s">
        <v>75</v>
      </c>
      <c r="D5" s="1" t="s">
        <v>86</v>
      </c>
      <c r="E5" s="1"/>
      <c r="F5" s="7" t="s">
        <v>87</v>
      </c>
      <c r="G5" s="1" t="s">
        <v>88</v>
      </c>
      <c r="H5" s="7" t="s">
        <v>89</v>
      </c>
      <c r="I5" s="7"/>
      <c r="J5" s="7"/>
      <c r="K5" s="7" t="s">
        <v>71</v>
      </c>
      <c r="L5" s="7" t="s">
        <v>72</v>
      </c>
      <c r="M5" s="7" t="s">
        <v>80</v>
      </c>
      <c r="N5" s="8"/>
    </row>
    <row r="6" spans="1:14" ht="102" customHeight="1" x14ac:dyDescent="0.4">
      <c r="A6" s="7"/>
      <c r="B6" s="1" t="s">
        <v>90</v>
      </c>
      <c r="C6" s="1" t="s">
        <v>75</v>
      </c>
      <c r="D6" s="1" t="s">
        <v>91</v>
      </c>
      <c r="E6" s="1"/>
      <c r="F6" s="7" t="s">
        <v>92</v>
      </c>
      <c r="G6" s="1" t="s">
        <v>93</v>
      </c>
      <c r="H6" s="7" t="s">
        <v>94</v>
      </c>
      <c r="I6" s="7"/>
      <c r="J6" s="7"/>
      <c r="K6" s="7" t="s">
        <v>71</v>
      </c>
      <c r="L6" s="7" t="s">
        <v>72</v>
      </c>
      <c r="M6" s="7" t="s">
        <v>80</v>
      </c>
      <c r="N6" s="8"/>
    </row>
    <row r="7" spans="1:14" ht="145.75" customHeight="1" x14ac:dyDescent="0.4">
      <c r="A7" s="7" t="s">
        <v>64</v>
      </c>
      <c r="B7" s="1" t="s">
        <v>95</v>
      </c>
      <c r="C7" s="1" t="s">
        <v>75</v>
      </c>
      <c r="D7" s="1" t="s">
        <v>96</v>
      </c>
      <c r="E7" s="1"/>
      <c r="F7" s="7" t="s">
        <v>97</v>
      </c>
      <c r="G7" s="1" t="s">
        <v>98</v>
      </c>
      <c r="H7" s="7" t="s">
        <v>70</v>
      </c>
      <c r="I7" s="7"/>
      <c r="J7" s="7"/>
      <c r="K7" s="7" t="s">
        <v>71</v>
      </c>
      <c r="L7" s="7" t="s">
        <v>72</v>
      </c>
      <c r="M7" s="7" t="s">
        <v>80</v>
      </c>
      <c r="N7" s="8"/>
    </row>
    <row r="8" spans="1:14" ht="175" customHeight="1" x14ac:dyDescent="0.4">
      <c r="A8" s="7" t="s">
        <v>64</v>
      </c>
      <c r="B8" s="1" t="s">
        <v>99</v>
      </c>
      <c r="C8" s="1" t="s">
        <v>100</v>
      </c>
      <c r="D8" s="1" t="s">
        <v>101</v>
      </c>
      <c r="E8" s="1"/>
      <c r="F8" s="7" t="s">
        <v>102</v>
      </c>
      <c r="G8" s="1" t="s">
        <v>103</v>
      </c>
      <c r="H8" s="7"/>
      <c r="I8" s="7" t="s">
        <v>104</v>
      </c>
      <c r="J8" s="7" t="s">
        <v>105</v>
      </c>
      <c r="K8" s="7" t="s">
        <v>71</v>
      </c>
      <c r="L8" s="7" t="s">
        <v>106</v>
      </c>
      <c r="M8" s="7" t="s">
        <v>80</v>
      </c>
      <c r="N8" s="8"/>
    </row>
    <row r="9" spans="1:14" ht="204" customHeight="1" x14ac:dyDescent="0.4">
      <c r="A9" s="7"/>
      <c r="B9" s="1" t="s">
        <v>107</v>
      </c>
      <c r="C9" s="1" t="s">
        <v>75</v>
      </c>
      <c r="D9" s="1" t="s">
        <v>108</v>
      </c>
      <c r="E9" s="1"/>
      <c r="F9" s="7" t="s">
        <v>109</v>
      </c>
      <c r="G9" s="1" t="s">
        <v>78</v>
      </c>
      <c r="H9" s="7" t="s">
        <v>79</v>
      </c>
      <c r="I9" s="7"/>
      <c r="J9" s="7"/>
      <c r="K9" s="7" t="s">
        <v>71</v>
      </c>
      <c r="L9" s="7" t="s">
        <v>110</v>
      </c>
      <c r="M9" s="7" t="s">
        <v>80</v>
      </c>
      <c r="N9" s="8"/>
    </row>
    <row r="10" spans="1:14" ht="204" customHeight="1" x14ac:dyDescent="0.4">
      <c r="A10" s="7"/>
      <c r="B10" s="1" t="s">
        <v>111</v>
      </c>
      <c r="C10" s="1" t="s">
        <v>75</v>
      </c>
      <c r="D10" s="1" t="s">
        <v>112</v>
      </c>
      <c r="E10" s="1" t="s">
        <v>113</v>
      </c>
      <c r="F10" s="7" t="s">
        <v>114</v>
      </c>
      <c r="G10" s="1" t="s">
        <v>115</v>
      </c>
      <c r="H10" s="7" t="s">
        <v>116</v>
      </c>
      <c r="I10" s="7"/>
      <c r="J10" s="7" t="s">
        <v>117</v>
      </c>
      <c r="K10" s="7" t="s">
        <v>71</v>
      </c>
      <c r="L10" s="7"/>
      <c r="M10" s="7" t="s">
        <v>80</v>
      </c>
      <c r="N10" s="8"/>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3:AE49"/>
  <sheetViews>
    <sheetView topLeftCell="J1" zoomScale="32" zoomScaleNormal="70" workbookViewId="0">
      <selection activeCell="J51" sqref="J51"/>
    </sheetView>
  </sheetViews>
  <sheetFormatPr defaultRowHeight="14.6" x14ac:dyDescent="0.4"/>
  <cols>
    <col min="1" max="1" width="9.3046875" bestFit="1" customWidth="1"/>
    <col min="2" max="4" width="10.3046875" bestFit="1" customWidth="1"/>
    <col min="5" max="5" width="12.3046875" bestFit="1" customWidth="1"/>
    <col min="6" max="6" width="17.69140625" customWidth="1"/>
    <col min="8" max="8" width="9.53515625" bestFit="1" customWidth="1"/>
    <col min="10" max="10" width="26.15234375" customWidth="1"/>
    <col min="11" max="11" width="14.3046875" bestFit="1" customWidth="1"/>
    <col min="12" max="12" width="9.3046875" bestFit="1" customWidth="1"/>
    <col min="13" max="13" width="14.3046875" bestFit="1" customWidth="1"/>
    <col min="15" max="15" width="14.3046875" bestFit="1" customWidth="1"/>
    <col min="16" max="16" width="9.3046875" bestFit="1" customWidth="1"/>
    <col min="17" max="17" width="14.3046875" bestFit="1" customWidth="1"/>
    <col min="19" max="20" width="9.3046875" bestFit="1" customWidth="1"/>
    <col min="21" max="21" width="14.3046875" bestFit="1" customWidth="1"/>
  </cols>
  <sheetData>
    <row r="3" spans="2:31" x14ac:dyDescent="0.4">
      <c r="X3" s="18" t="s">
        <v>118</v>
      </c>
    </row>
    <row r="4" spans="2:31" x14ac:dyDescent="0.4">
      <c r="B4" t="s">
        <v>0</v>
      </c>
      <c r="C4" s="26" t="s">
        <v>119</v>
      </c>
      <c r="D4" s="27"/>
      <c r="E4" s="27"/>
      <c r="F4" s="26" t="s">
        <v>120</v>
      </c>
      <c r="G4" s="27"/>
      <c r="H4" s="27"/>
      <c r="K4" s="11" t="s">
        <v>121</v>
      </c>
      <c r="L4" s="12"/>
      <c r="M4" s="12"/>
      <c r="O4" s="13" t="s">
        <v>122</v>
      </c>
      <c r="P4" s="14"/>
      <c r="Q4" s="14"/>
      <c r="S4" s="16" t="s">
        <v>123</v>
      </c>
      <c r="T4" s="15"/>
      <c r="U4" s="15"/>
      <c r="W4" t="s">
        <v>124</v>
      </c>
    </row>
    <row r="5" spans="2:31" x14ac:dyDescent="0.4">
      <c r="C5" t="s">
        <v>125</v>
      </c>
      <c r="D5" t="s">
        <v>126</v>
      </c>
      <c r="E5" t="s">
        <v>127</v>
      </c>
      <c r="F5" t="s">
        <v>128</v>
      </c>
      <c r="G5" t="s">
        <v>129</v>
      </c>
      <c r="H5" t="s">
        <v>130</v>
      </c>
      <c r="K5" s="11" t="s">
        <v>131</v>
      </c>
      <c r="L5" s="12" t="s">
        <v>132</v>
      </c>
      <c r="M5" s="12" t="s">
        <v>133</v>
      </c>
      <c r="O5" s="14" t="s">
        <v>134</v>
      </c>
      <c r="P5" s="14" t="s">
        <v>135</v>
      </c>
      <c r="Q5" s="14" t="s">
        <v>136</v>
      </c>
      <c r="S5" s="15" t="s">
        <v>137</v>
      </c>
      <c r="T5" s="15" t="s">
        <v>138</v>
      </c>
      <c r="U5" s="15" t="s">
        <v>139</v>
      </c>
      <c r="W5" s="11" t="s">
        <v>131</v>
      </c>
      <c r="X5" s="12" t="s">
        <v>132</v>
      </c>
      <c r="Y5" s="12" t="s">
        <v>133</v>
      </c>
      <c r="Z5" s="14" t="s">
        <v>134</v>
      </c>
      <c r="AA5" s="14" t="s">
        <v>135</v>
      </c>
      <c r="AB5" s="14" t="s">
        <v>136</v>
      </c>
      <c r="AC5" s="15" t="s">
        <v>137</v>
      </c>
      <c r="AD5" s="15" t="s">
        <v>138</v>
      </c>
      <c r="AE5" s="15" t="s">
        <v>139</v>
      </c>
    </row>
    <row r="6" spans="2:31" x14ac:dyDescent="0.4">
      <c r="B6" s="10" t="s">
        <v>7</v>
      </c>
      <c r="C6">
        <v>1201555.2</v>
      </c>
      <c r="D6">
        <v>18.982710000000001</v>
      </c>
      <c r="E6">
        <v>9691539</v>
      </c>
      <c r="F6" s="10">
        <v>5.67</v>
      </c>
      <c r="G6" s="10">
        <v>0.49429400000000001</v>
      </c>
      <c r="H6">
        <v>10192.529</v>
      </c>
      <c r="K6" s="12">
        <f>$F$6/C6</f>
        <v>4.7188843259136161E-6</v>
      </c>
      <c r="L6" s="12">
        <f t="shared" ref="L6:L49" si="0">F6/D6</f>
        <v>0.29869286313703364</v>
      </c>
      <c r="M6" s="12">
        <f t="shared" ref="M6:M49" si="1">F6/E6</f>
        <v>5.8504639975137072E-7</v>
      </c>
      <c r="O6" s="14">
        <f t="shared" ref="O6:O49" si="2">G6/C6</f>
        <v>4.1137852010461111E-7</v>
      </c>
      <c r="P6" s="14">
        <f t="shared" ref="P6:P49" si="3">G6/D6</f>
        <v>2.6039169328299278E-2</v>
      </c>
      <c r="Q6" s="14">
        <f t="shared" ref="Q6:Q49" si="4">G6/E6</f>
        <v>5.1002632296067739E-8</v>
      </c>
      <c r="S6" s="15">
        <f t="shared" ref="S6:S49" si="5">H6/C6</f>
        <v>8.4827804831604913E-3</v>
      </c>
      <c r="T6" s="15">
        <f t="shared" ref="T6:T49" si="6">H6/D6</f>
        <v>536.93750786900284</v>
      </c>
      <c r="U6" s="15">
        <f t="shared" ref="U6:U49" si="7">H6/E6</f>
        <v>1.0516935442348217E-3</v>
      </c>
      <c r="V6" s="10" t="s">
        <v>7</v>
      </c>
      <c r="W6" s="12">
        <f>K6/MAX(K$6:K$49)</f>
        <v>3.1134730060981906E-2</v>
      </c>
      <c r="X6" s="12">
        <f>L6/MAX(L$6:L$49)</f>
        <v>7.8750652719116382E-2</v>
      </c>
      <c r="Y6" s="12">
        <f>M6/MAX(M$6:M$49)</f>
        <v>0.14863916568265778</v>
      </c>
      <c r="Z6" s="14">
        <f t="shared" ref="Z6:Z49" si="8">O6/MAX(O$6:O$49)</f>
        <v>2.9826270056078876E-2</v>
      </c>
      <c r="AA6" s="14">
        <f t="shared" ref="AA6:AA49" si="9">P6/MAX(P$6:P$49)</f>
        <v>0.21127447144282369</v>
      </c>
      <c r="AB6" s="14">
        <f t="shared" ref="AB6:AB49" si="10">Q6/MAX(Q$6:Q$49)</f>
        <v>0.14239249506508769</v>
      </c>
      <c r="AC6" s="15">
        <f t="shared" ref="AC6:AC49" si="11">S6/MAX(S$6:S$49)</f>
        <v>1.4424642698462239E-2</v>
      </c>
      <c r="AD6" s="15">
        <f t="shared" ref="AD6:AD49" si="12">T6/MAX(T$6:T$49)</f>
        <v>4.4129896440493636E-2</v>
      </c>
      <c r="AE6" s="15">
        <f t="shared" ref="AE6:AE49" si="13">U6/MAX(U$6:U$49)</f>
        <v>6.88641543308839E-2</v>
      </c>
    </row>
    <row r="7" spans="2:31" x14ac:dyDescent="0.4">
      <c r="B7" s="10" t="s">
        <v>8</v>
      </c>
      <c r="C7">
        <v>1064272.8</v>
      </c>
      <c r="D7">
        <v>40.585369999999998</v>
      </c>
      <c r="E7">
        <v>8801828</v>
      </c>
      <c r="F7" s="10">
        <v>9.2100000000000009</v>
      </c>
      <c r="G7" s="10">
        <v>0.43820999999999999</v>
      </c>
      <c r="H7">
        <v>10076.352000000001</v>
      </c>
      <c r="K7" s="12">
        <f t="shared" ref="K7:K49" si="14">F7/C7</f>
        <v>8.6537962823065665E-6</v>
      </c>
      <c r="L7" s="12">
        <f t="shared" si="0"/>
        <v>0.22692906335460294</v>
      </c>
      <c r="M7" s="12">
        <f t="shared" si="1"/>
        <v>1.0463735487673697E-6</v>
      </c>
      <c r="O7" s="14">
        <f t="shared" si="2"/>
        <v>4.1174593581645605E-7</v>
      </c>
      <c r="P7" s="14">
        <f t="shared" si="3"/>
        <v>1.0797240483455E-2</v>
      </c>
      <c r="Q7" s="14">
        <f t="shared" si="4"/>
        <v>4.978624894737775E-8</v>
      </c>
      <c r="S7" s="15">
        <f t="shared" si="5"/>
        <v>9.4678281733781046E-3</v>
      </c>
      <c r="T7" s="15">
        <f t="shared" si="6"/>
        <v>248.27547463531812</v>
      </c>
      <c r="U7" s="15">
        <f t="shared" si="7"/>
        <v>1.1448021933625607E-3</v>
      </c>
      <c r="V7" s="10" t="s">
        <v>8</v>
      </c>
      <c r="W7" s="12">
        <f t="shared" ref="W7:W49" si="15">K7/MAX($K$6:$K$49)</f>
        <v>5.7096888298947462E-2</v>
      </c>
      <c r="X7" s="12">
        <f t="shared" ref="X7:X49" si="16">L7/MAX(L$6:L$49)</f>
        <v>5.9830059789255714E-2</v>
      </c>
      <c r="Y7" s="12">
        <f t="shared" ref="Y7:Y49" si="17">M7/MAX(M$6:M$49)</f>
        <v>0.26584573693177271</v>
      </c>
      <c r="Z7" s="14">
        <f t="shared" si="8"/>
        <v>2.9852908880686313E-2</v>
      </c>
      <c r="AA7" s="14">
        <f t="shared" si="9"/>
        <v>8.7605762204704174E-2</v>
      </c>
      <c r="AB7" s="14">
        <f t="shared" si="10"/>
        <v>0.13899651622677686</v>
      </c>
      <c r="AC7" s="15">
        <f t="shared" si="11"/>
        <v>1.6099678496045516E-2</v>
      </c>
      <c r="AD7" s="15">
        <f t="shared" si="12"/>
        <v>2.0405300102528931E-2</v>
      </c>
      <c r="AE7" s="15">
        <f t="shared" si="13"/>
        <v>7.4960843255353612E-2</v>
      </c>
    </row>
    <row r="8" spans="2:31" x14ac:dyDescent="0.4">
      <c r="B8" s="10" t="s">
        <v>9</v>
      </c>
      <c r="C8">
        <v>3972916</v>
      </c>
      <c r="D8">
        <v>13.628450000000001</v>
      </c>
      <c r="E8">
        <v>75462370</v>
      </c>
      <c r="F8" s="10">
        <v>16.690000000000001</v>
      </c>
      <c r="G8" s="10">
        <v>0.70839799999999997</v>
      </c>
      <c r="H8">
        <v>41255.714999999997</v>
      </c>
      <c r="K8" s="12">
        <f t="shared" si="14"/>
        <v>4.2009445958585585E-6</v>
      </c>
      <c r="L8" s="12">
        <f t="shared" si="0"/>
        <v>1.2246440350883629</v>
      </c>
      <c r="M8" s="12">
        <f t="shared" si="1"/>
        <v>2.2116983603880983E-7</v>
      </c>
      <c r="O8" s="14">
        <f t="shared" si="2"/>
        <v>1.7830681544739431E-7</v>
      </c>
      <c r="P8" s="14">
        <f t="shared" si="3"/>
        <v>5.1979352017287359E-2</v>
      </c>
      <c r="Q8" s="14">
        <f t="shared" si="4"/>
        <v>9.3874337633445641E-9</v>
      </c>
      <c r="S8" s="15">
        <f t="shared" si="5"/>
        <v>1.0384240442033005E-2</v>
      </c>
      <c r="T8" s="15">
        <f t="shared" si="6"/>
        <v>3027.1758710638401</v>
      </c>
      <c r="U8" s="15">
        <f t="shared" si="7"/>
        <v>5.4670579521952465E-4</v>
      </c>
      <c r="V8" s="10" t="s">
        <v>9</v>
      </c>
      <c r="W8" s="12">
        <f t="shared" si="15"/>
        <v>2.7717415168441086E-2</v>
      </c>
      <c r="X8" s="12">
        <f t="shared" si="16"/>
        <v>0.32287854520158332</v>
      </c>
      <c r="Y8" s="12">
        <f t="shared" si="17"/>
        <v>5.6191269473583126E-2</v>
      </c>
      <c r="Z8" s="14">
        <f t="shared" si="8"/>
        <v>1.2927819442349605E-2</v>
      </c>
      <c r="AA8" s="14">
        <f t="shared" si="9"/>
        <v>0.4217457932291932</v>
      </c>
      <c r="AB8" s="14">
        <f t="shared" si="10"/>
        <v>2.6208453478663626E-2</v>
      </c>
      <c r="AC8" s="15">
        <f t="shared" si="11"/>
        <v>1.7658002393036075E-2</v>
      </c>
      <c r="AD8" s="15">
        <f t="shared" si="12"/>
        <v>0.24879796203360074</v>
      </c>
      <c r="AE8" s="15">
        <f t="shared" si="13"/>
        <v>3.5797911342108447E-2</v>
      </c>
    </row>
    <row r="9" spans="2:31" x14ac:dyDescent="0.4">
      <c r="B9" s="10" t="s">
        <v>10</v>
      </c>
      <c r="C9">
        <v>3567308.2</v>
      </c>
      <c r="D9">
        <v>29.667269999999998</v>
      </c>
      <c r="E9">
        <v>60206376</v>
      </c>
      <c r="F9" s="10">
        <v>4.99</v>
      </c>
      <c r="G9" s="10">
        <v>0.30621900000000002</v>
      </c>
      <c r="H9">
        <v>17463.758000000002</v>
      </c>
      <c r="K9" s="12">
        <f t="shared" si="14"/>
        <v>1.398813817096039E-6</v>
      </c>
      <c r="L9" s="12">
        <f t="shared" si="0"/>
        <v>0.16819882651824722</v>
      </c>
      <c r="M9" s="12">
        <f t="shared" si="1"/>
        <v>8.2881587159472942E-8</v>
      </c>
      <c r="O9" s="14">
        <f t="shared" si="2"/>
        <v>8.5840354360186765E-8</v>
      </c>
      <c r="P9" s="14">
        <f t="shared" si="3"/>
        <v>1.0321778849216662E-2</v>
      </c>
      <c r="Q9" s="14">
        <f t="shared" si="4"/>
        <v>5.0861556589953203E-9</v>
      </c>
      <c r="S9" s="15">
        <f t="shared" si="5"/>
        <v>4.8955001981606187E-3</v>
      </c>
      <c r="T9" s="15">
        <f t="shared" si="6"/>
        <v>588.65402849672387</v>
      </c>
      <c r="U9" s="15">
        <f t="shared" si="7"/>
        <v>2.9006492601381622E-4</v>
      </c>
      <c r="V9" s="10" t="s">
        <v>10</v>
      </c>
      <c r="W9" s="12">
        <f t="shared" si="15"/>
        <v>9.2292346226191743E-3</v>
      </c>
      <c r="X9" s="12">
        <f t="shared" si="16"/>
        <v>4.4345777919790899E-2</v>
      </c>
      <c r="Y9" s="12">
        <f t="shared" si="17"/>
        <v>2.1057218660048126E-2</v>
      </c>
      <c r="Z9" s="14">
        <f t="shared" si="8"/>
        <v>6.2237026624661143E-3</v>
      </c>
      <c r="AA9" s="14">
        <f t="shared" si="9"/>
        <v>8.3748000684029475E-2</v>
      </c>
      <c r="AB9" s="14">
        <f t="shared" si="10"/>
        <v>1.4199863065295092E-2</v>
      </c>
      <c r="AC9" s="15">
        <f t="shared" si="11"/>
        <v>8.3246102299712171E-3</v>
      </c>
      <c r="AD9" s="15">
        <f t="shared" si="12"/>
        <v>4.8380381210354012E-2</v>
      </c>
      <c r="AE9" s="15">
        <f t="shared" si="13"/>
        <v>1.8993247548671682E-2</v>
      </c>
    </row>
    <row r="10" spans="2:31" x14ac:dyDescent="0.4">
      <c r="B10" s="10" t="s">
        <v>11</v>
      </c>
      <c r="C10">
        <v>28768802</v>
      </c>
      <c r="D10">
        <v>16.49174</v>
      </c>
      <c r="E10">
        <v>111591896</v>
      </c>
      <c r="F10" s="10">
        <v>20.64</v>
      </c>
      <c r="G10" s="10">
        <v>0.38143300000000002</v>
      </c>
      <c r="H10">
        <v>18122.863000000001</v>
      </c>
      <c r="K10" s="12">
        <f t="shared" si="14"/>
        <v>7.1744384767916301E-7</v>
      </c>
      <c r="L10" s="12">
        <f t="shared" si="0"/>
        <v>1.2515356172241376</v>
      </c>
      <c r="M10" s="12">
        <f t="shared" si="1"/>
        <v>1.8495966768052762E-7</v>
      </c>
      <c r="O10" s="14">
        <f t="shared" si="2"/>
        <v>1.3258563912393711E-8</v>
      </c>
      <c r="P10" s="14">
        <f t="shared" si="3"/>
        <v>2.3128729897512332E-2</v>
      </c>
      <c r="Q10" s="14">
        <f t="shared" si="4"/>
        <v>3.418106633836565E-9</v>
      </c>
      <c r="S10" s="15">
        <f t="shared" si="5"/>
        <v>6.2994847682569478E-4</v>
      </c>
      <c r="T10" s="15">
        <f t="shared" si="6"/>
        <v>1098.9054520626689</v>
      </c>
      <c r="U10" s="15">
        <f t="shared" si="7"/>
        <v>1.6240303865793266E-4</v>
      </c>
      <c r="V10" s="10" t="s">
        <v>11</v>
      </c>
      <c r="W10" s="12">
        <f t="shared" si="15"/>
        <v>4.7336232441082876E-3</v>
      </c>
      <c r="X10" s="12">
        <f t="shared" si="16"/>
        <v>0.32996853598208087</v>
      </c>
      <c r="Y10" s="12">
        <f t="shared" si="17"/>
        <v>4.6991573148144741E-2</v>
      </c>
      <c r="Z10" s="14">
        <f t="shared" si="8"/>
        <v>9.6128866355558638E-4</v>
      </c>
      <c r="AA10" s="14">
        <f t="shared" si="9"/>
        <v>0.18765998725351463</v>
      </c>
      <c r="AB10" s="14">
        <f t="shared" si="10"/>
        <v>9.5428943581808371E-3</v>
      </c>
      <c r="AC10" s="15">
        <f t="shared" si="11"/>
        <v>1.071203211575462E-3</v>
      </c>
      <c r="AD10" s="15">
        <f t="shared" si="12"/>
        <v>9.0316997949881891E-2</v>
      </c>
      <c r="AE10" s="15">
        <f t="shared" si="13"/>
        <v>1.0634036862973532E-2</v>
      </c>
    </row>
    <row r="11" spans="2:31" x14ac:dyDescent="0.4">
      <c r="B11" s="10" t="s">
        <v>12</v>
      </c>
      <c r="C11">
        <v>9323679</v>
      </c>
      <c r="D11">
        <v>13.27885</v>
      </c>
      <c r="E11">
        <v>126559150</v>
      </c>
      <c r="F11" s="10">
        <v>12.69</v>
      </c>
      <c r="G11" s="5">
        <v>0.71222556000000004</v>
      </c>
      <c r="H11">
        <v>39160.324000000001</v>
      </c>
      <c r="K11" s="12">
        <f t="shared" si="14"/>
        <v>1.3610507182840592E-6</v>
      </c>
      <c r="L11" s="12">
        <f t="shared" si="0"/>
        <v>0.95565504542938573</v>
      </c>
      <c r="M11" s="12">
        <f t="shared" si="1"/>
        <v>1.0026932070893332E-7</v>
      </c>
      <c r="O11" s="14">
        <f t="shared" si="2"/>
        <v>7.638889755857104E-8</v>
      </c>
      <c r="P11" s="14">
        <f t="shared" si="3"/>
        <v>5.3636087462393206E-2</v>
      </c>
      <c r="Q11" s="14">
        <f t="shared" si="4"/>
        <v>5.6276101727927217E-9</v>
      </c>
      <c r="S11" s="15">
        <f t="shared" si="5"/>
        <v>4.2000935467641047E-3</v>
      </c>
      <c r="T11" s="15">
        <f t="shared" si="6"/>
        <v>2949.0749575452692</v>
      </c>
      <c r="U11" s="15">
        <f t="shared" si="7"/>
        <v>3.0942309584095656E-4</v>
      </c>
      <c r="V11" s="10" t="s">
        <v>12</v>
      </c>
      <c r="W11" s="12">
        <f t="shared" si="15"/>
        <v>8.9800774476232522E-3</v>
      </c>
      <c r="X11" s="12">
        <f t="shared" si="16"/>
        <v>0.25195934650555757</v>
      </c>
      <c r="Y11" s="12">
        <f t="shared" si="17"/>
        <v>2.5474813929419055E-2</v>
      </c>
      <c r="Z11" s="14">
        <f t="shared" si="8"/>
        <v>5.5384415484034059E-3</v>
      </c>
      <c r="AA11" s="14">
        <f t="shared" si="9"/>
        <v>0.43518807708518864</v>
      </c>
      <c r="AB11" s="14">
        <f t="shared" si="10"/>
        <v>1.5711531301089467E-2</v>
      </c>
      <c r="AC11" s="15">
        <f t="shared" si="11"/>
        <v>7.1420979043909753E-3</v>
      </c>
      <c r="AD11" s="15">
        <f t="shared" si="12"/>
        <v>0.24237899301956914</v>
      </c>
      <c r="AE11" s="15">
        <f t="shared" si="13"/>
        <v>2.0260806907429145E-2</v>
      </c>
    </row>
    <row r="12" spans="2:31" x14ac:dyDescent="0.4">
      <c r="B12" s="10" t="s">
        <v>13</v>
      </c>
      <c r="C12">
        <v>3847866</v>
      </c>
      <c r="D12">
        <v>20.41206</v>
      </c>
      <c r="E12">
        <v>59439004</v>
      </c>
      <c r="F12" s="10">
        <v>13.63</v>
      </c>
      <c r="G12" s="10">
        <v>0.54433600000000004</v>
      </c>
      <c r="H12">
        <v>16186.409</v>
      </c>
      <c r="K12" s="12">
        <f t="shared" si="14"/>
        <v>3.5422231439452417E-6</v>
      </c>
      <c r="L12" s="12">
        <f t="shared" si="0"/>
        <v>0.667742501246812</v>
      </c>
      <c r="M12" s="12">
        <f t="shared" si="1"/>
        <v>2.2931070648492025E-7</v>
      </c>
      <c r="O12" s="14">
        <f t="shared" si="2"/>
        <v>1.4146438571405555E-7</v>
      </c>
      <c r="P12" s="14">
        <f t="shared" si="3"/>
        <v>2.6667372131965125E-2</v>
      </c>
      <c r="Q12" s="14">
        <f t="shared" si="4"/>
        <v>9.1578923496093586E-9</v>
      </c>
      <c r="S12" s="15">
        <f t="shared" si="5"/>
        <v>4.2065937327339358E-3</v>
      </c>
      <c r="T12" s="15">
        <f t="shared" si="6"/>
        <v>792.98262889683838</v>
      </c>
      <c r="U12" s="15">
        <f t="shared" si="7"/>
        <v>2.7231965394305729E-4</v>
      </c>
      <c r="V12" s="10" t="s">
        <v>13</v>
      </c>
      <c r="W12" s="12">
        <f t="shared" si="15"/>
        <v>2.3371236458767278E-2</v>
      </c>
      <c r="X12" s="12">
        <f t="shared" si="16"/>
        <v>0.17605093496109725</v>
      </c>
      <c r="Y12" s="12">
        <f t="shared" si="17"/>
        <v>5.8259570708416294E-2</v>
      </c>
      <c r="Z12" s="14">
        <f t="shared" si="8"/>
        <v>1.0256624411385822E-2</v>
      </c>
      <c r="AA12" s="14">
        <f t="shared" si="9"/>
        <v>0.21637153170730603</v>
      </c>
      <c r="AB12" s="14">
        <f t="shared" si="10"/>
        <v>2.5567604699863567E-2</v>
      </c>
      <c r="AC12" s="15">
        <f t="shared" si="11"/>
        <v>7.1531512211984189E-3</v>
      </c>
      <c r="AD12" s="15">
        <f t="shared" si="12"/>
        <v>6.5173769348341834E-2</v>
      </c>
      <c r="AE12" s="15">
        <f t="shared" si="13"/>
        <v>1.7831299601740656E-2</v>
      </c>
    </row>
    <row r="13" spans="2:31" x14ac:dyDescent="0.4">
      <c r="B13" s="10" t="s">
        <v>14</v>
      </c>
      <c r="C13">
        <v>42385420</v>
      </c>
      <c r="D13">
        <v>7.1536400000000002</v>
      </c>
      <c r="E13">
        <v>857682560</v>
      </c>
      <c r="F13" s="10">
        <v>9.98</v>
      </c>
      <c r="G13" s="10">
        <v>0.78090999999999999</v>
      </c>
      <c r="H13">
        <v>43761.527000000002</v>
      </c>
      <c r="K13" s="12">
        <f t="shared" si="14"/>
        <v>2.3545832505611602E-7</v>
      </c>
      <c r="L13" s="12">
        <f t="shared" si="0"/>
        <v>1.3950939661487018</v>
      </c>
      <c r="M13" s="12">
        <f t="shared" si="1"/>
        <v>1.1636006682938733E-8</v>
      </c>
      <c r="O13" s="14">
        <f t="shared" si="2"/>
        <v>1.8424024110177511E-8</v>
      </c>
      <c r="P13" s="14">
        <f t="shared" si="3"/>
        <v>0.10916260812677182</v>
      </c>
      <c r="Q13" s="14">
        <f t="shared" si="4"/>
        <v>9.1048837462662176E-10</v>
      </c>
      <c r="S13" s="15">
        <f t="shared" si="5"/>
        <v>1.0324665179677352E-3</v>
      </c>
      <c r="T13" s="15">
        <f t="shared" si="6"/>
        <v>6117.3789846847203</v>
      </c>
      <c r="U13" s="15">
        <f t="shared" si="7"/>
        <v>5.1022988038838056E-5</v>
      </c>
      <c r="V13" s="10" t="s">
        <v>14</v>
      </c>
      <c r="W13" s="12">
        <f t="shared" si="15"/>
        <v>1.5535306409134694E-3</v>
      </c>
      <c r="X13" s="12">
        <f t="shared" si="16"/>
        <v>0.36781782893924625</v>
      </c>
      <c r="Y13" s="12">
        <f t="shared" si="17"/>
        <v>2.9562891523900727E-3</v>
      </c>
      <c r="Z13" s="14">
        <f t="shared" si="8"/>
        <v>1.335801194700499E-3</v>
      </c>
      <c r="AA13" s="14">
        <f t="shared" si="9"/>
        <v>0.88571459567409172</v>
      </c>
      <c r="AB13" s="14">
        <f t="shared" si="10"/>
        <v>2.5419611803219927E-3</v>
      </c>
      <c r="AC13" s="15">
        <f t="shared" si="11"/>
        <v>1.7556696945505827E-3</v>
      </c>
      <c r="AD13" s="15">
        <f t="shared" si="12"/>
        <v>0.50277601606340194</v>
      </c>
      <c r="AE13" s="15">
        <f t="shared" si="13"/>
        <v>3.340949406783522E-3</v>
      </c>
    </row>
    <row r="14" spans="2:31" ht="15" customHeight="1" x14ac:dyDescent="0.4">
      <c r="B14" s="10" t="s">
        <v>15</v>
      </c>
      <c r="C14">
        <v>2343456</v>
      </c>
      <c r="D14">
        <v>18.646889999999999</v>
      </c>
      <c r="E14">
        <v>23499504</v>
      </c>
      <c r="F14" s="10">
        <v>12.73</v>
      </c>
      <c r="G14" s="10">
        <v>0.60917900000000003</v>
      </c>
      <c r="H14">
        <v>20025.754000000001</v>
      </c>
      <c r="K14" s="12">
        <f t="shared" si="14"/>
        <v>5.4321480753212348E-6</v>
      </c>
      <c r="L14" s="12">
        <f t="shared" si="0"/>
        <v>0.68268756881174297</v>
      </c>
      <c r="M14" s="12">
        <f t="shared" si="1"/>
        <v>5.4171356127346353E-7</v>
      </c>
      <c r="O14" s="14">
        <f t="shared" si="2"/>
        <v>2.5994898133355184E-7</v>
      </c>
      <c r="P14" s="14">
        <f t="shared" si="3"/>
        <v>3.2669201137562352E-2</v>
      </c>
      <c r="Q14" s="14">
        <f t="shared" si="4"/>
        <v>2.5923057780283364E-8</v>
      </c>
      <c r="S14" s="15">
        <f t="shared" si="5"/>
        <v>8.5453936408449744E-3</v>
      </c>
      <c r="T14" s="15">
        <f t="shared" si="6"/>
        <v>1073.9460574926973</v>
      </c>
      <c r="U14" s="15">
        <f t="shared" si="7"/>
        <v>8.5217773107040904E-4</v>
      </c>
      <c r="V14" s="10" t="s">
        <v>15</v>
      </c>
      <c r="W14" s="12">
        <f t="shared" si="15"/>
        <v>3.584077343189894E-2</v>
      </c>
      <c r="X14" s="12">
        <f t="shared" si="16"/>
        <v>0.17999121600199264</v>
      </c>
      <c r="Y14" s="12">
        <f t="shared" si="17"/>
        <v>0.13762985606079747</v>
      </c>
      <c r="Z14" s="14">
        <f t="shared" si="8"/>
        <v>1.8847139894629168E-2</v>
      </c>
      <c r="AA14" s="14">
        <f t="shared" si="9"/>
        <v>0.2650686784887768</v>
      </c>
      <c r="AB14" s="14">
        <f t="shared" si="10"/>
        <v>7.2373693491415619E-2</v>
      </c>
      <c r="AC14" s="15">
        <f t="shared" si="11"/>
        <v>1.4531113970424782E-2</v>
      </c>
      <c r="AD14" s="15">
        <f t="shared" si="12"/>
        <v>8.8265631670849304E-2</v>
      </c>
      <c r="AE14" s="15">
        <f t="shared" si="13"/>
        <v>5.5799999069569332E-2</v>
      </c>
    </row>
    <row r="15" spans="2:31" ht="16.75" customHeight="1" x14ac:dyDescent="0.4">
      <c r="B15" s="10" t="s">
        <v>16</v>
      </c>
      <c r="C15">
        <v>342181.62</v>
      </c>
      <c r="D15">
        <v>15.126860000000001</v>
      </c>
      <c r="E15">
        <v>7644012</v>
      </c>
      <c r="F15" s="10">
        <v>4.26</v>
      </c>
      <c r="G15" s="10">
        <v>0.68421100000000001</v>
      </c>
      <c r="H15">
        <v>25081.504000000001</v>
      </c>
      <c r="K15" s="12">
        <f t="shared" si="14"/>
        <v>1.2449528995742085E-5</v>
      </c>
      <c r="L15" s="12">
        <f t="shared" si="0"/>
        <v>0.28161826049821309</v>
      </c>
      <c r="M15" s="12">
        <f t="shared" si="1"/>
        <v>5.5729896813348795E-7</v>
      </c>
      <c r="O15" s="14">
        <f t="shared" si="2"/>
        <v>1.9995550900717579E-6</v>
      </c>
      <c r="P15" s="14">
        <f t="shared" si="3"/>
        <v>4.5231528552521806E-2</v>
      </c>
      <c r="Q15" s="14">
        <f t="shared" si="4"/>
        <v>8.9509409456709378E-8</v>
      </c>
      <c r="S15" s="15">
        <f t="shared" si="5"/>
        <v>7.3298805470615291E-2</v>
      </c>
      <c r="T15" s="15">
        <f t="shared" si="6"/>
        <v>1658.0773537931864</v>
      </c>
      <c r="U15" s="15">
        <f t="shared" si="7"/>
        <v>3.2811963141868433E-3</v>
      </c>
      <c r="V15" s="10" t="s">
        <v>16</v>
      </c>
      <c r="W15" s="12">
        <f t="shared" si="15"/>
        <v>8.2140755716395286E-2</v>
      </c>
      <c r="X15" s="12">
        <f t="shared" si="16"/>
        <v>7.4248917764338521E-2</v>
      </c>
      <c r="Y15" s="12">
        <f t="shared" si="17"/>
        <v>0.14158954519568198</v>
      </c>
      <c r="Z15" s="14">
        <f t="shared" si="8"/>
        <v>0.14497419576822207</v>
      </c>
      <c r="AA15" s="14">
        <f t="shared" si="9"/>
        <v>0.36699585793235401</v>
      </c>
      <c r="AB15" s="14">
        <f t="shared" si="10"/>
        <v>0.24989824192517349</v>
      </c>
      <c r="AC15" s="15">
        <f t="shared" si="11"/>
        <v>0.12464180597819567</v>
      </c>
      <c r="AD15" s="15">
        <f t="shared" si="12"/>
        <v>0.13627429792271578</v>
      </c>
      <c r="AE15" s="15">
        <f t="shared" si="13"/>
        <v>0.21485042920415479</v>
      </c>
    </row>
    <row r="16" spans="2:31" ht="16.75" customHeight="1" x14ac:dyDescent="0.4">
      <c r="B16" s="10" t="s">
        <v>17</v>
      </c>
      <c r="C16">
        <v>6440591.5</v>
      </c>
      <c r="D16">
        <v>17.515899999999998</v>
      </c>
      <c r="E16">
        <v>119829860</v>
      </c>
      <c r="F16" s="10">
        <v>23.92</v>
      </c>
      <c r="G16" s="10">
        <v>0.68402399999999997</v>
      </c>
      <c r="H16">
        <v>28437.603999999999</v>
      </c>
      <c r="K16" s="12">
        <f t="shared" si="14"/>
        <v>3.7139445965483142E-6</v>
      </c>
      <c r="L16" s="12">
        <f t="shared" si="0"/>
        <v>1.3656163828293153</v>
      </c>
      <c r="M16" s="12">
        <f t="shared" si="1"/>
        <v>1.9961635605682927E-7</v>
      </c>
      <c r="O16" s="14">
        <f t="shared" si="2"/>
        <v>1.0620515211995667E-7</v>
      </c>
      <c r="P16" s="14">
        <f t="shared" si="3"/>
        <v>3.9051604542158842E-2</v>
      </c>
      <c r="Q16" s="14">
        <f t="shared" si="4"/>
        <v>5.7082934086712605E-9</v>
      </c>
      <c r="S16" s="15">
        <f t="shared" si="5"/>
        <v>4.41537147636207E-3</v>
      </c>
      <c r="T16" s="15">
        <f t="shared" si="6"/>
        <v>1623.5308491142334</v>
      </c>
      <c r="U16" s="15">
        <f t="shared" si="7"/>
        <v>2.3731650858976219E-4</v>
      </c>
      <c r="V16" s="10" t="s">
        <v>17</v>
      </c>
      <c r="W16" s="12">
        <f t="shared" si="15"/>
        <v>2.4504237546146387E-2</v>
      </c>
      <c r="X16" s="12">
        <f t="shared" si="16"/>
        <v>0.36004603652812717</v>
      </c>
      <c r="Y16" s="12">
        <f t="shared" si="17"/>
        <v>5.0715308449908868E-2</v>
      </c>
      <c r="Z16" s="14">
        <f t="shared" si="8"/>
        <v>7.7002162088366634E-3</v>
      </c>
      <c r="AA16" s="14">
        <f t="shared" si="9"/>
        <v>0.31685369854222079</v>
      </c>
      <c r="AB16" s="14">
        <f t="shared" si="10"/>
        <v>1.5936788052544545E-2</v>
      </c>
      <c r="AC16" s="15">
        <f t="shared" si="11"/>
        <v>7.508169762725613E-3</v>
      </c>
      <c r="AD16" s="15">
        <f t="shared" si="12"/>
        <v>0.1334349848713445</v>
      </c>
      <c r="AE16" s="15">
        <f t="shared" si="13"/>
        <v>1.5539318238073115E-2</v>
      </c>
    </row>
    <row r="17" spans="2:31" x14ac:dyDescent="0.4">
      <c r="B17" s="10" t="s">
        <v>18</v>
      </c>
      <c r="C17">
        <v>5416969.5</v>
      </c>
      <c r="D17">
        <v>10.725849999999999</v>
      </c>
      <c r="E17">
        <v>52924036</v>
      </c>
      <c r="F17" s="10">
        <v>12.4</v>
      </c>
      <c r="G17" s="10">
        <v>0.77490199999999998</v>
      </c>
      <c r="H17">
        <v>44940.887000000002</v>
      </c>
      <c r="K17" s="12">
        <f t="shared" si="14"/>
        <v>2.289102790776282E-6</v>
      </c>
      <c r="L17" s="12">
        <f t="shared" si="0"/>
        <v>1.1560855316828038</v>
      </c>
      <c r="M17" s="12">
        <f t="shared" si="1"/>
        <v>2.3429807960980149E-7</v>
      </c>
      <c r="O17" s="14">
        <f t="shared" si="2"/>
        <v>1.4305083312726792E-7</v>
      </c>
      <c r="P17" s="14">
        <f t="shared" si="3"/>
        <v>7.2246208925166769E-2</v>
      </c>
      <c r="Q17" s="14">
        <f t="shared" si="4"/>
        <v>1.4641778264983418E-8</v>
      </c>
      <c r="S17" s="15">
        <f t="shared" si="5"/>
        <v>8.296315310617865E-3</v>
      </c>
      <c r="T17" s="15">
        <f t="shared" si="6"/>
        <v>4189.9604227170812</v>
      </c>
      <c r="U17" s="15">
        <f t="shared" si="7"/>
        <v>8.491583483920237E-4</v>
      </c>
      <c r="V17" s="10" t="s">
        <v>18</v>
      </c>
      <c r="W17" s="12">
        <f t="shared" si="15"/>
        <v>1.5103272839573429E-2</v>
      </c>
      <c r="X17" s="12">
        <f t="shared" si="16"/>
        <v>0.30480303165924405</v>
      </c>
      <c r="Y17" s="12">
        <f t="shared" si="17"/>
        <v>5.9526682138459269E-2</v>
      </c>
      <c r="Z17" s="14">
        <f t="shared" si="8"/>
        <v>1.0371646967653969E-2</v>
      </c>
      <c r="AA17" s="14">
        <f t="shared" si="9"/>
        <v>0.5861853506910375</v>
      </c>
      <c r="AB17" s="14">
        <f t="shared" si="10"/>
        <v>4.0877877189517173E-2</v>
      </c>
      <c r="AC17" s="15">
        <f t="shared" si="11"/>
        <v>1.4107565827856673E-2</v>
      </c>
      <c r="AD17" s="15">
        <f t="shared" si="12"/>
        <v>0.34436506452699256</v>
      </c>
      <c r="AE17" s="15">
        <f t="shared" si="13"/>
        <v>5.5602292013280798E-2</v>
      </c>
    </row>
    <row r="18" spans="2:31" x14ac:dyDescent="0.4">
      <c r="B18" s="10" t="s">
        <v>19</v>
      </c>
      <c r="C18">
        <v>1773684.6</v>
      </c>
      <c r="D18">
        <v>6.7455800000000004</v>
      </c>
      <c r="E18">
        <v>21289860</v>
      </c>
      <c r="F18" s="10">
        <v>13.91</v>
      </c>
      <c r="G18" s="10">
        <v>0.71085799999999999</v>
      </c>
      <c r="H18">
        <v>24473.66</v>
      </c>
      <c r="K18" s="12">
        <f t="shared" si="14"/>
        <v>7.8424315123444151E-6</v>
      </c>
      <c r="L18" s="12">
        <f t="shared" si="0"/>
        <v>2.0620910284956961</v>
      </c>
      <c r="M18" s="12">
        <f t="shared" si="1"/>
        <v>6.5336268063763688E-7</v>
      </c>
      <c r="O18" s="14">
        <f t="shared" si="2"/>
        <v>4.0078038677225925E-7</v>
      </c>
      <c r="P18" s="14">
        <f t="shared" si="3"/>
        <v>0.10538130153374506</v>
      </c>
      <c r="Q18" s="14">
        <f t="shared" si="4"/>
        <v>3.3389510311481615E-8</v>
      </c>
      <c r="S18" s="15">
        <f t="shared" si="5"/>
        <v>1.3798202904845652E-2</v>
      </c>
      <c r="T18" s="15">
        <f t="shared" si="6"/>
        <v>3628.1031430951821</v>
      </c>
      <c r="U18" s="15">
        <f t="shared" si="7"/>
        <v>1.1495453704251696E-3</v>
      </c>
      <c r="V18" s="10" t="s">
        <v>19</v>
      </c>
      <c r="W18" s="12">
        <f t="shared" si="15"/>
        <v>5.1743584138674067E-2</v>
      </c>
      <c r="X18" s="12">
        <f t="shared" si="16"/>
        <v>0.54367222823723349</v>
      </c>
      <c r="Y18" s="12">
        <f t="shared" si="17"/>
        <v>0.16599586593376961</v>
      </c>
      <c r="Z18" s="14">
        <f t="shared" si="8"/>
        <v>2.9057871193686462E-2</v>
      </c>
      <c r="AA18" s="14">
        <f t="shared" si="9"/>
        <v>0.85503414109688836</v>
      </c>
      <c r="AB18" s="14">
        <f t="shared" si="10"/>
        <v>9.3219025532921398E-2</v>
      </c>
      <c r="AC18" s="15">
        <f t="shared" si="11"/>
        <v>2.3463314555692321E-2</v>
      </c>
      <c r="AD18" s="15">
        <f t="shared" si="12"/>
        <v>0.29818705833320458</v>
      </c>
      <c r="AE18" s="15">
        <f t="shared" si="13"/>
        <v>7.5271423156741013E-2</v>
      </c>
    </row>
    <row r="19" spans="2:31" x14ac:dyDescent="0.4">
      <c r="B19" s="10" t="s">
        <v>20</v>
      </c>
      <c r="C19">
        <v>7348762</v>
      </c>
      <c r="D19">
        <v>5.8262299999999998</v>
      </c>
      <c r="E19">
        <v>88243340</v>
      </c>
      <c r="F19" s="10">
        <v>14.68</v>
      </c>
      <c r="G19" s="10">
        <v>0.71167100000000005</v>
      </c>
      <c r="H19">
        <v>36986.699999999997</v>
      </c>
      <c r="K19" s="12">
        <f t="shared" si="14"/>
        <v>1.997615380658674E-6</v>
      </c>
      <c r="L19" s="12">
        <f t="shared" si="0"/>
        <v>2.5196396297434189</v>
      </c>
      <c r="M19" s="12">
        <f t="shared" si="1"/>
        <v>1.6635816368691394E-7</v>
      </c>
      <c r="O19" s="14">
        <f t="shared" si="2"/>
        <v>9.6842298063265629E-8</v>
      </c>
      <c r="P19" s="14">
        <f t="shared" si="3"/>
        <v>0.12214948603127582</v>
      </c>
      <c r="Q19" s="14">
        <f t="shared" si="4"/>
        <v>8.0648692581219163E-9</v>
      </c>
      <c r="S19" s="15">
        <f t="shared" si="5"/>
        <v>5.0330518256000122E-3</v>
      </c>
      <c r="T19" s="15">
        <f t="shared" si="6"/>
        <v>6348.3075676724056</v>
      </c>
      <c r="U19" s="15">
        <f t="shared" si="7"/>
        <v>4.1914437962117026E-4</v>
      </c>
      <c r="V19" s="10" t="s">
        <v>20</v>
      </c>
      <c r="W19" s="12">
        <f t="shared" si="15"/>
        <v>1.3180067860729328E-2</v>
      </c>
      <c r="X19" s="12">
        <f t="shared" si="16"/>
        <v>0.66430534487934789</v>
      </c>
      <c r="Y19" s="12">
        <f t="shared" si="17"/>
        <v>4.2265602634988214E-2</v>
      </c>
      <c r="Z19" s="14">
        <f t="shared" si="8"/>
        <v>7.0213790796654395E-3</v>
      </c>
      <c r="AA19" s="14">
        <f t="shared" si="9"/>
        <v>0.99108645797787953</v>
      </c>
      <c r="AB19" s="14">
        <f t="shared" si="10"/>
        <v>2.2516031121127864E-2</v>
      </c>
      <c r="AC19" s="15">
        <f t="shared" si="11"/>
        <v>8.5585114941079034E-3</v>
      </c>
      <c r="AD19" s="15">
        <f t="shared" si="12"/>
        <v>0.52175560736228876</v>
      </c>
      <c r="AE19" s="15">
        <f t="shared" si="13"/>
        <v>2.7445279476499392E-2</v>
      </c>
    </row>
    <row r="20" spans="2:31" x14ac:dyDescent="0.4">
      <c r="B20" s="10" t="s">
        <v>21</v>
      </c>
      <c r="C20">
        <v>39493550</v>
      </c>
      <c r="D20">
        <v>12.20689</v>
      </c>
      <c r="E20">
        <v>404057660</v>
      </c>
      <c r="F20" s="10">
        <v>10.43</v>
      </c>
      <c r="G20" s="5">
        <v>0.73974150000000005</v>
      </c>
      <c r="H20">
        <v>37077.89</v>
      </c>
      <c r="K20" s="12">
        <f t="shared" si="14"/>
        <v>2.6409375708185261E-7</v>
      </c>
      <c r="L20" s="12">
        <f t="shared" si="0"/>
        <v>0.85443548684390536</v>
      </c>
      <c r="M20" s="12">
        <f t="shared" si="1"/>
        <v>2.5813147559187466E-8</v>
      </c>
      <c r="O20" s="14">
        <f t="shared" si="2"/>
        <v>1.8730691467340871E-8</v>
      </c>
      <c r="P20" s="14">
        <f t="shared" si="3"/>
        <v>6.0600324898479468E-2</v>
      </c>
      <c r="Q20" s="14">
        <f t="shared" si="4"/>
        <v>1.8307820225459902E-9</v>
      </c>
      <c r="S20" s="15">
        <f t="shared" si="5"/>
        <v>9.3883406277733958E-4</v>
      </c>
      <c r="T20" s="15">
        <f t="shared" si="6"/>
        <v>3037.4558958096618</v>
      </c>
      <c r="U20" s="15">
        <f t="shared" si="7"/>
        <v>9.1763858653242701E-5</v>
      </c>
      <c r="V20" s="10" t="s">
        <v>21</v>
      </c>
      <c r="W20" s="12">
        <f t="shared" si="15"/>
        <v>1.7424643770944876E-3</v>
      </c>
      <c r="X20" s="12">
        <f t="shared" si="16"/>
        <v>0.22527271521872147</v>
      </c>
      <c r="Y20" s="12">
        <f t="shared" si="17"/>
        <v>6.5581887495957869E-3</v>
      </c>
      <c r="Z20" s="14">
        <f t="shared" si="8"/>
        <v>1.358035567583683E-3</v>
      </c>
      <c r="AA20" s="14">
        <f t="shared" si="9"/>
        <v>0.49169393427136149</v>
      </c>
      <c r="AB20" s="14">
        <f t="shared" si="10"/>
        <v>5.1112973659347798E-3</v>
      </c>
      <c r="AC20" s="15">
        <f t="shared" si="11"/>
        <v>1.5964512974952312E-3</v>
      </c>
      <c r="AD20" s="15">
        <f t="shared" si="12"/>
        <v>0.24964285817289134</v>
      </c>
      <c r="AE20" s="15">
        <f t="shared" si="13"/>
        <v>6.0086329890823827E-3</v>
      </c>
    </row>
    <row r="21" spans="2:31" x14ac:dyDescent="0.4">
      <c r="B21" s="10" t="s">
        <v>22</v>
      </c>
      <c r="C21">
        <v>1816214.2</v>
      </c>
      <c r="D21">
        <v>22.569389999999999</v>
      </c>
      <c r="E21">
        <v>9192436</v>
      </c>
      <c r="F21" s="10">
        <v>8.86</v>
      </c>
      <c r="G21" s="10">
        <v>0.55564499999999994</v>
      </c>
      <c r="H21">
        <v>10629.593999999999</v>
      </c>
      <c r="K21" s="12">
        <f t="shared" si="14"/>
        <v>4.8782792249944967E-6</v>
      </c>
      <c r="L21" s="12">
        <f t="shared" si="0"/>
        <v>0.39256710083879093</v>
      </c>
      <c r="M21" s="12">
        <f t="shared" si="1"/>
        <v>9.6383591900993374E-7</v>
      </c>
      <c r="O21" s="14">
        <f t="shared" si="2"/>
        <v>3.0593583069662156E-7</v>
      </c>
      <c r="P21" s="14">
        <f t="shared" si="3"/>
        <v>2.4619407081892777E-2</v>
      </c>
      <c r="Q21" s="14">
        <f t="shared" si="4"/>
        <v>6.0445892688292848E-8</v>
      </c>
      <c r="S21" s="15">
        <f t="shared" si="5"/>
        <v>5.8526103363799268E-3</v>
      </c>
      <c r="T21" s="15">
        <f t="shared" si="6"/>
        <v>470.9739164416938</v>
      </c>
      <c r="U21" s="15">
        <f t="shared" si="7"/>
        <v>1.1563413658795122E-3</v>
      </c>
      <c r="V21" s="10" t="s">
        <v>22</v>
      </c>
      <c r="W21" s="12">
        <f t="shared" si="15"/>
        <v>3.2186401772604088E-2</v>
      </c>
      <c r="X21" s="12">
        <f t="shared" si="16"/>
        <v>0.10350068328523435</v>
      </c>
      <c r="Y21" s="12">
        <f t="shared" si="17"/>
        <v>0.24487590542818069</v>
      </c>
      <c r="Z21" s="14">
        <f t="shared" si="8"/>
        <v>2.2181334854011935E-2</v>
      </c>
      <c r="AA21" s="14">
        <f t="shared" si="9"/>
        <v>0.19975492124511385</v>
      </c>
      <c r="AB21" s="14">
        <f t="shared" si="10"/>
        <v>0.16875680898897752</v>
      </c>
      <c r="AC21" s="15">
        <f t="shared" si="11"/>
        <v>9.952139292440312E-3</v>
      </c>
      <c r="AD21" s="15">
        <f t="shared" si="12"/>
        <v>3.8708471384748838E-2</v>
      </c>
      <c r="AE21" s="15">
        <f t="shared" si="13"/>
        <v>7.5716420164058704E-2</v>
      </c>
    </row>
    <row r="22" spans="2:31" x14ac:dyDescent="0.4">
      <c r="B22" s="10" t="s">
        <v>23</v>
      </c>
      <c r="C22">
        <v>39767790</v>
      </c>
      <c r="D22">
        <v>12.644629999999999</v>
      </c>
      <c r="E22">
        <v>894566400</v>
      </c>
      <c r="F22" s="10">
        <v>20.350000000000001</v>
      </c>
      <c r="G22" s="10">
        <v>0.78161800000000003</v>
      </c>
      <c r="H22">
        <v>44405.167999999998</v>
      </c>
      <c r="K22" s="12">
        <f t="shared" si="14"/>
        <v>5.1172066639861054E-7</v>
      </c>
      <c r="L22" s="12">
        <f t="shared" si="0"/>
        <v>1.6093788430345533</v>
      </c>
      <c r="M22" s="12">
        <f t="shared" si="1"/>
        <v>2.2748451093177659E-8</v>
      </c>
      <c r="O22" s="14">
        <f t="shared" si="2"/>
        <v>1.9654549573913964E-8</v>
      </c>
      <c r="P22" s="14">
        <f t="shared" si="3"/>
        <v>6.1814224694593682E-2</v>
      </c>
      <c r="Q22" s="14">
        <f t="shared" si="4"/>
        <v>8.7373950105883706E-10</v>
      </c>
      <c r="S22" s="15">
        <f t="shared" si="5"/>
        <v>1.1166114083784892E-3</v>
      </c>
      <c r="T22" s="15">
        <f t="shared" si="6"/>
        <v>3511.7807322159683</v>
      </c>
      <c r="U22" s="15">
        <f t="shared" si="7"/>
        <v>4.9638761303800364E-5</v>
      </c>
      <c r="V22" s="10" t="s">
        <v>23</v>
      </c>
      <c r="W22" s="12">
        <f t="shared" si="15"/>
        <v>3.3762821282680815E-3</v>
      </c>
      <c r="X22" s="12">
        <f t="shared" si="16"/>
        <v>0.42431423714051747</v>
      </c>
      <c r="Y22" s="12">
        <f t="shared" si="17"/>
        <v>5.7795600357503935E-3</v>
      </c>
      <c r="Z22" s="14">
        <f t="shared" si="8"/>
        <v>1.4250182612185857E-3</v>
      </c>
      <c r="AA22" s="14">
        <f t="shared" si="9"/>
        <v>0.50154317464362852</v>
      </c>
      <c r="AB22" s="14">
        <f t="shared" si="10"/>
        <v>2.4393632640463707E-3</v>
      </c>
      <c r="AC22" s="15">
        <f t="shared" si="11"/>
        <v>1.8987548517682981E-3</v>
      </c>
      <c r="AD22" s="15">
        <f t="shared" si="12"/>
        <v>0.28862673544538608</v>
      </c>
      <c r="AE22" s="15">
        <f t="shared" si="13"/>
        <v>3.250311212764821E-3</v>
      </c>
    </row>
    <row r="23" spans="2:31" x14ac:dyDescent="0.4">
      <c r="B23" s="10" t="s">
        <v>24</v>
      </c>
      <c r="C23">
        <v>4579830</v>
      </c>
      <c r="D23">
        <v>16.445550000000001</v>
      </c>
      <c r="E23">
        <v>84390630</v>
      </c>
      <c r="F23" s="10">
        <v>8.2899999999999991</v>
      </c>
      <c r="G23" s="10">
        <v>0.64623299999999995</v>
      </c>
      <c r="H23">
        <v>22696.203000000001</v>
      </c>
      <c r="K23" s="12">
        <f t="shared" si="14"/>
        <v>1.8101108556431133E-6</v>
      </c>
      <c r="L23" s="12">
        <f t="shared" si="0"/>
        <v>0.50408773193964318</v>
      </c>
      <c r="M23" s="12">
        <f t="shared" si="1"/>
        <v>9.8233654613077292E-8</v>
      </c>
      <c r="O23" s="14">
        <f t="shared" si="2"/>
        <v>1.4110414578707068E-7</v>
      </c>
      <c r="P23" s="14">
        <f t="shared" si="3"/>
        <v>3.9295310889571944E-2</v>
      </c>
      <c r="Q23" s="14">
        <f t="shared" si="4"/>
        <v>7.6576392426505166E-9</v>
      </c>
      <c r="S23" s="15">
        <f t="shared" si="5"/>
        <v>4.9556867831338719E-3</v>
      </c>
      <c r="T23" s="15">
        <f t="shared" si="6"/>
        <v>1380.0817242354315</v>
      </c>
      <c r="U23" s="15">
        <f t="shared" si="7"/>
        <v>2.6894221550425684E-4</v>
      </c>
      <c r="V23" s="10" t="s">
        <v>24</v>
      </c>
      <c r="W23" s="12">
        <f t="shared" si="15"/>
        <v>1.1942931629287197E-2</v>
      </c>
      <c r="X23" s="12">
        <f t="shared" si="16"/>
        <v>0.13290320197484487</v>
      </c>
      <c r="Y23" s="12">
        <f t="shared" si="17"/>
        <v>2.4957624677036504E-2</v>
      </c>
      <c r="Z23" s="14">
        <f t="shared" si="8"/>
        <v>1.0230505854334033E-2</v>
      </c>
      <c r="AA23" s="14">
        <f t="shared" si="9"/>
        <v>0.31883106306901493</v>
      </c>
      <c r="AB23" s="14">
        <f t="shared" si="10"/>
        <v>2.1379099646066772E-2</v>
      </c>
      <c r="AC23" s="15">
        <f t="shared" si="11"/>
        <v>8.4269552081541674E-3</v>
      </c>
      <c r="AD23" s="15">
        <f t="shared" si="12"/>
        <v>0.11342635349063007</v>
      </c>
      <c r="AE23" s="15">
        <f t="shared" si="13"/>
        <v>1.7610147305838871E-2</v>
      </c>
    </row>
    <row r="24" spans="2:31" x14ac:dyDescent="0.4">
      <c r="B24" s="10" t="s">
        <v>25</v>
      </c>
      <c r="C24">
        <v>6969051</v>
      </c>
      <c r="D24">
        <v>17.161010000000001</v>
      </c>
      <c r="E24">
        <v>57328544</v>
      </c>
      <c r="F24" s="10">
        <v>20.22</v>
      </c>
      <c r="G24" s="10">
        <v>0.56093099999999996</v>
      </c>
      <c r="H24">
        <v>22993.375</v>
      </c>
      <c r="K24" s="12">
        <f t="shared" si="14"/>
        <v>2.9013993440426824E-6</v>
      </c>
      <c r="L24" s="12">
        <f t="shared" si="0"/>
        <v>1.1782523289713134</v>
      </c>
      <c r="M24" s="12">
        <f t="shared" si="1"/>
        <v>3.5270388168239539E-7</v>
      </c>
      <c r="O24" s="14">
        <f t="shared" si="2"/>
        <v>8.0488864265737181E-8</v>
      </c>
      <c r="P24" s="14">
        <f t="shared" si="3"/>
        <v>3.268636286558891E-2</v>
      </c>
      <c r="Q24" s="14">
        <f t="shared" si="4"/>
        <v>9.7844975794257036E-9</v>
      </c>
      <c r="S24" s="15">
        <f t="shared" si="5"/>
        <v>3.2993552493732646E-3</v>
      </c>
      <c r="T24" s="15">
        <f t="shared" si="6"/>
        <v>1339.861406758693</v>
      </c>
      <c r="U24" s="15">
        <f t="shared" si="7"/>
        <v>4.0108074260528927E-4</v>
      </c>
      <c r="V24" s="10" t="s">
        <v>25</v>
      </c>
      <c r="W24" s="12">
        <f t="shared" si="15"/>
        <v>1.9143144679307098E-2</v>
      </c>
      <c r="X24" s="12">
        <f t="shared" si="16"/>
        <v>0.3106473284958966</v>
      </c>
      <c r="Y24" s="12">
        <f t="shared" si="17"/>
        <v>8.9609321121513763E-2</v>
      </c>
      <c r="Z24" s="14">
        <f t="shared" si="8"/>
        <v>5.8357023635713275E-3</v>
      </c>
      <c r="AA24" s="14">
        <f t="shared" si="9"/>
        <v>0.26520792390679082</v>
      </c>
      <c r="AB24" s="14">
        <f t="shared" si="10"/>
        <v>2.7317002291274962E-2</v>
      </c>
      <c r="AC24" s="15">
        <f t="shared" si="11"/>
        <v>5.6104269940713374E-3</v>
      </c>
      <c r="AD24" s="15">
        <f t="shared" si="12"/>
        <v>0.11012072030419738</v>
      </c>
      <c r="AE24" s="15">
        <f t="shared" si="13"/>
        <v>2.6262485216652771E-2</v>
      </c>
    </row>
    <row r="25" spans="2:31" ht="15" customHeight="1" x14ac:dyDescent="0.4">
      <c r="B25" s="10" t="s">
        <v>26</v>
      </c>
      <c r="C25">
        <v>367652.34</v>
      </c>
      <c r="D25">
        <v>6.4300100000000002</v>
      </c>
      <c r="E25">
        <v>4808067.5</v>
      </c>
      <c r="F25" s="10">
        <v>10.73</v>
      </c>
      <c r="G25" s="10">
        <v>0.76290400000000003</v>
      </c>
      <c r="H25">
        <v>39756.527000000002</v>
      </c>
      <c r="K25" s="12">
        <f t="shared" si="14"/>
        <v>2.9185180760715406E-5</v>
      </c>
      <c r="L25" s="12">
        <f t="shared" si="0"/>
        <v>1.6687376847003348</v>
      </c>
      <c r="M25" s="12">
        <f t="shared" si="1"/>
        <v>2.2316658407977843E-6</v>
      </c>
      <c r="O25" s="14">
        <f t="shared" si="2"/>
        <v>2.0750690720477937E-6</v>
      </c>
      <c r="P25" s="14">
        <f t="shared" si="3"/>
        <v>0.11864740490294727</v>
      </c>
      <c r="Q25" s="14">
        <f t="shared" si="4"/>
        <v>1.5867164926449141E-7</v>
      </c>
      <c r="S25" s="15">
        <f t="shared" si="5"/>
        <v>0.10813620008511302</v>
      </c>
      <c r="T25" s="15">
        <f t="shared" si="6"/>
        <v>6182.9650342689984</v>
      </c>
      <c r="U25" s="15">
        <f t="shared" si="7"/>
        <v>8.2687123256901043E-3</v>
      </c>
      <c r="V25" s="10" t="s">
        <v>26</v>
      </c>
      <c r="W25" s="12">
        <f t="shared" si="15"/>
        <v>0.19256092372849382</v>
      </c>
      <c r="X25" s="12">
        <f t="shared" si="16"/>
        <v>0.43996425126116423</v>
      </c>
      <c r="Y25" s="12">
        <f t="shared" si="17"/>
        <v>0.56698571053447877</v>
      </c>
      <c r="Z25" s="14">
        <f t="shared" si="8"/>
        <v>0.15044920311390061</v>
      </c>
      <c r="AA25" s="14">
        <f t="shared" si="9"/>
        <v>0.96267156002130838</v>
      </c>
      <c r="AB25" s="14">
        <f t="shared" si="10"/>
        <v>0.44298992067131737</v>
      </c>
      <c r="AC25" s="15">
        <f t="shared" si="11"/>
        <v>0.18388145869077369</v>
      </c>
      <c r="AD25" s="15">
        <f t="shared" si="12"/>
        <v>0.50816641165633081</v>
      </c>
      <c r="AE25" s="15">
        <f t="shared" si="13"/>
        <v>0.54142947328662683</v>
      </c>
    </row>
    <row r="26" spans="2:31" ht="15" customHeight="1" x14ac:dyDescent="0.4">
      <c r="B26" s="10" t="s">
        <v>27</v>
      </c>
      <c r="C26">
        <v>8910458</v>
      </c>
      <c r="D26">
        <v>9.1618700000000004</v>
      </c>
      <c r="E26">
        <v>63314196</v>
      </c>
      <c r="F26" s="10">
        <v>34.75</v>
      </c>
      <c r="G26" s="10">
        <v>0.75645300000000004</v>
      </c>
      <c r="H26">
        <v>53196.597999999998</v>
      </c>
      <c r="K26" s="12">
        <f t="shared" si="14"/>
        <v>3.89991176660055E-6</v>
      </c>
      <c r="L26" s="12">
        <f t="shared" si="0"/>
        <v>3.7928938087966757</v>
      </c>
      <c r="M26" s="12">
        <f t="shared" si="1"/>
        <v>5.4885005568103559E-7</v>
      </c>
      <c r="O26" s="14">
        <f t="shared" si="2"/>
        <v>8.4894962750511824E-8</v>
      </c>
      <c r="P26" s="14">
        <f t="shared" si="3"/>
        <v>8.2565349650235154E-2</v>
      </c>
      <c r="Q26" s="14">
        <f t="shared" si="4"/>
        <v>1.1947604925757883E-8</v>
      </c>
      <c r="S26" s="15">
        <f t="shared" si="5"/>
        <v>5.9701306038365256E-3</v>
      </c>
      <c r="T26" s="15">
        <f t="shared" si="6"/>
        <v>5806.3035166401614</v>
      </c>
      <c r="U26" s="15">
        <f t="shared" si="7"/>
        <v>8.4020016616810547E-4</v>
      </c>
      <c r="V26" s="17" t="s">
        <v>27</v>
      </c>
      <c r="W26" s="12">
        <f t="shared" si="15"/>
        <v>2.5731230462244216E-2</v>
      </c>
      <c r="X26" s="11">
        <f t="shared" si="16"/>
        <v>1</v>
      </c>
      <c r="Y26" s="12">
        <f t="shared" si="17"/>
        <v>0.1394429816096279</v>
      </c>
      <c r="Z26" s="14">
        <f t="shared" si="8"/>
        <v>6.1551587203766116E-3</v>
      </c>
      <c r="AA26" s="14">
        <f t="shared" si="9"/>
        <v>0.66991194638023011</v>
      </c>
      <c r="AB26" s="14">
        <f t="shared" si="10"/>
        <v>3.3356107299617979E-2</v>
      </c>
      <c r="AC26" s="15">
        <f t="shared" si="11"/>
        <v>1.01519779975977E-2</v>
      </c>
      <c r="AD26" s="15">
        <f t="shared" si="12"/>
        <v>0.47720930115002769</v>
      </c>
      <c r="AE26" s="15">
        <f t="shared" si="13"/>
        <v>5.5015716535496612E-2</v>
      </c>
    </row>
    <row r="27" spans="2:31" x14ac:dyDescent="0.4">
      <c r="B27" s="10" t="s">
        <v>28</v>
      </c>
      <c r="C27">
        <v>2627072.7999999998</v>
      </c>
      <c r="D27">
        <v>21.654979999999998</v>
      </c>
      <c r="E27">
        <v>77176136</v>
      </c>
      <c r="F27" s="10">
        <v>12.78</v>
      </c>
      <c r="G27" s="10">
        <v>0.73618799999999995</v>
      </c>
      <c r="H27">
        <v>31050.407999999999</v>
      </c>
      <c r="K27" s="12">
        <f t="shared" si="14"/>
        <v>4.8647300523990046E-6</v>
      </c>
      <c r="L27" s="12">
        <f t="shared" si="0"/>
        <v>0.59016447948693562</v>
      </c>
      <c r="M27" s="12">
        <f t="shared" si="1"/>
        <v>1.6559523011102811E-7</v>
      </c>
      <c r="O27" s="14">
        <f t="shared" si="2"/>
        <v>2.8023129012640991E-7</v>
      </c>
      <c r="P27" s="14">
        <f t="shared" si="3"/>
        <v>3.3996244743703295E-2</v>
      </c>
      <c r="Q27" s="14">
        <f t="shared" si="4"/>
        <v>9.5390626967901062E-9</v>
      </c>
      <c r="S27" s="15">
        <f t="shared" si="5"/>
        <v>1.1819393813525076E-2</v>
      </c>
      <c r="T27" s="15">
        <f t="shared" si="6"/>
        <v>1433.8691608119705</v>
      </c>
      <c r="U27" s="15">
        <f t="shared" si="7"/>
        <v>4.0233172596254363E-4</v>
      </c>
      <c r="V27" s="10" t="s">
        <v>28</v>
      </c>
      <c r="W27" s="12">
        <f t="shared" si="15"/>
        <v>3.2097005677642891E-2</v>
      </c>
      <c r="X27" s="12">
        <f t="shared" si="16"/>
        <v>0.15559741696912147</v>
      </c>
      <c r="Y27" s="12">
        <f t="shared" si="17"/>
        <v>4.207176876089011E-2</v>
      </c>
      <c r="Z27" s="14">
        <f t="shared" si="8"/>
        <v>2.0317672724740801E-2</v>
      </c>
      <c r="AA27" s="14">
        <f t="shared" si="9"/>
        <v>0.27583593580540333</v>
      </c>
      <c r="AB27" s="14">
        <f t="shared" si="10"/>
        <v>2.6631781083247544E-2</v>
      </c>
      <c r="AC27" s="15">
        <f t="shared" si="11"/>
        <v>2.0098425629539968E-2</v>
      </c>
      <c r="AD27" s="15">
        <f t="shared" si="12"/>
        <v>0.11784704299571376</v>
      </c>
      <c r="AE27" s="15">
        <f t="shared" si="13"/>
        <v>2.6344398727914276E-2</v>
      </c>
    </row>
    <row r="28" spans="2:31" x14ac:dyDescent="0.4">
      <c r="B28" s="10" t="s">
        <v>29</v>
      </c>
      <c r="C28">
        <v>16488255</v>
      </c>
      <c r="D28">
        <v>17.27739</v>
      </c>
      <c r="E28">
        <v>397890080</v>
      </c>
      <c r="F28" s="10">
        <v>14.4</v>
      </c>
      <c r="G28" s="10">
        <v>0.70633299999999999</v>
      </c>
      <c r="H28">
        <v>33620.741999999998</v>
      </c>
      <c r="K28" s="12">
        <f t="shared" si="14"/>
        <v>8.7334893838068375E-7</v>
      </c>
      <c r="L28" s="12">
        <f t="shared" si="0"/>
        <v>0.83345922040308174</v>
      </c>
      <c r="M28" s="12">
        <f t="shared" si="1"/>
        <v>3.6190899758043732E-8</v>
      </c>
      <c r="O28" s="14">
        <f t="shared" si="2"/>
        <v>4.2838553867586351E-8</v>
      </c>
      <c r="P28" s="14">
        <f t="shared" si="3"/>
        <v>4.0881927189234023E-2</v>
      </c>
      <c r="Q28" s="14">
        <f t="shared" si="4"/>
        <v>1.7751963054721042E-9</v>
      </c>
      <c r="S28" s="15">
        <f t="shared" si="5"/>
        <v>2.0390721759215879E-3</v>
      </c>
      <c r="T28" s="15">
        <f t="shared" si="6"/>
        <v>1945.9387094925794</v>
      </c>
      <c r="U28" s="15">
        <f t="shared" si="7"/>
        <v>8.449756274396185E-5</v>
      </c>
      <c r="V28" s="10" t="s">
        <v>29</v>
      </c>
      <c r="W28" s="12">
        <f t="shared" si="15"/>
        <v>5.7622695466821401E-3</v>
      </c>
      <c r="X28" s="12">
        <f t="shared" si="16"/>
        <v>0.21974230295350741</v>
      </c>
      <c r="Y28" s="12">
        <f t="shared" si="17"/>
        <v>9.1948008698565075E-3</v>
      </c>
      <c r="Z28" s="14">
        <f t="shared" si="8"/>
        <v>3.1059333777115963E-3</v>
      </c>
      <c r="AA28" s="14">
        <f t="shared" si="9"/>
        <v>0.33170441996713101</v>
      </c>
      <c r="AB28" s="14">
        <f t="shared" si="10"/>
        <v>4.9561095140963378E-3</v>
      </c>
      <c r="AC28" s="15">
        <f t="shared" si="11"/>
        <v>3.4673639890167554E-3</v>
      </c>
      <c r="AD28" s="15">
        <f t="shared" si="12"/>
        <v>0.15993308806135059</v>
      </c>
      <c r="AE28" s="15">
        <f t="shared" si="13"/>
        <v>5.5328410384199367E-3</v>
      </c>
    </row>
    <row r="29" spans="2:31" x14ac:dyDescent="0.4">
      <c r="B29" s="10" t="s">
        <v>30</v>
      </c>
      <c r="C29">
        <v>11072543</v>
      </c>
      <c r="D29">
        <v>30.831779999999998</v>
      </c>
      <c r="E29">
        <v>369324380</v>
      </c>
      <c r="F29" s="10">
        <v>10.28</v>
      </c>
      <c r="G29" s="10">
        <v>0.37193799999999999</v>
      </c>
      <c r="H29">
        <v>23782.562000000002</v>
      </c>
      <c r="K29" s="12">
        <f t="shared" si="14"/>
        <v>9.2842267580265886E-7</v>
      </c>
      <c r="L29" s="12">
        <f t="shared" si="0"/>
        <v>0.33342220267529155</v>
      </c>
      <c r="M29" s="12">
        <f t="shared" si="1"/>
        <v>2.7834609781244334E-8</v>
      </c>
      <c r="O29" s="14">
        <f t="shared" si="2"/>
        <v>3.3591018793063163E-8</v>
      </c>
      <c r="P29" s="14">
        <f t="shared" si="3"/>
        <v>1.2063461791696749E-2</v>
      </c>
      <c r="Q29" s="14">
        <f t="shared" si="4"/>
        <v>1.0070767600016006E-9</v>
      </c>
      <c r="S29" s="15">
        <f t="shared" si="5"/>
        <v>2.147886172128661E-3</v>
      </c>
      <c r="T29" s="15">
        <f t="shared" si="6"/>
        <v>771.36519526281006</v>
      </c>
      <c r="U29" s="15">
        <f t="shared" si="7"/>
        <v>6.4394779461892011E-5</v>
      </c>
      <c r="V29" s="10" t="s">
        <v>30</v>
      </c>
      <c r="W29" s="12">
        <f t="shared" si="15"/>
        <v>6.12564059578083E-3</v>
      </c>
      <c r="X29" s="12">
        <f t="shared" si="16"/>
        <v>8.7907075569055346E-2</v>
      </c>
      <c r="Y29" s="12">
        <f t="shared" si="17"/>
        <v>7.0717693105106739E-3</v>
      </c>
      <c r="Z29" s="14">
        <f t="shared" si="8"/>
        <v>2.4354572468342456E-3</v>
      </c>
      <c r="AA29" s="14">
        <f t="shared" si="9"/>
        <v>9.787952456077427E-2</v>
      </c>
      <c r="AB29" s="14">
        <f t="shared" si="10"/>
        <v>2.8116229716588265E-3</v>
      </c>
      <c r="AC29" s="15">
        <f t="shared" si="11"/>
        <v>3.652398014003579E-3</v>
      </c>
      <c r="AD29" s="15">
        <f t="shared" si="12"/>
        <v>6.3397072631129717E-2</v>
      </c>
      <c r="AE29" s="15">
        <f t="shared" si="13"/>
        <v>4.2165249138173214E-3</v>
      </c>
    </row>
    <row r="30" spans="2:31" x14ac:dyDescent="0.4">
      <c r="B30" s="10" t="s">
        <v>31</v>
      </c>
      <c r="C30">
        <v>1701691.8</v>
      </c>
      <c r="D30">
        <v>44.577559999999998</v>
      </c>
      <c r="E30">
        <v>20268746</v>
      </c>
      <c r="F30" s="10">
        <v>14.05</v>
      </c>
      <c r="G30" s="10">
        <v>0.41885</v>
      </c>
      <c r="H30">
        <v>4772.76</v>
      </c>
      <c r="K30" s="12">
        <f t="shared" si="14"/>
        <v>8.256489218552972E-6</v>
      </c>
      <c r="L30" s="12">
        <f t="shared" si="0"/>
        <v>0.31518100138275851</v>
      </c>
      <c r="M30" s="12">
        <f t="shared" si="1"/>
        <v>6.9318545903135797E-7</v>
      </c>
      <c r="O30" s="14">
        <f t="shared" si="2"/>
        <v>2.4613740278938876E-7</v>
      </c>
      <c r="P30" s="14">
        <f t="shared" si="3"/>
        <v>9.3959830910440145E-3</v>
      </c>
      <c r="Q30" s="14">
        <f t="shared" si="4"/>
        <v>2.0664820606070056E-8</v>
      </c>
      <c r="S30" s="15">
        <f t="shared" si="5"/>
        <v>2.8047146962804897E-3</v>
      </c>
      <c r="T30" s="15">
        <f t="shared" si="6"/>
        <v>107.06642534943592</v>
      </c>
      <c r="U30" s="15">
        <f t="shared" si="7"/>
        <v>2.354738670068686E-4</v>
      </c>
      <c r="V30" s="10" t="s">
        <v>31</v>
      </c>
      <c r="W30" s="12">
        <f t="shared" si="15"/>
        <v>5.4475495756358586E-2</v>
      </c>
      <c r="X30" s="12">
        <f t="shared" si="16"/>
        <v>8.3097765788162692E-2</v>
      </c>
      <c r="Y30" s="12">
        <f t="shared" si="17"/>
        <v>0.17611339602732048</v>
      </c>
      <c r="Z30" s="14">
        <f t="shared" si="8"/>
        <v>1.7845755885920602E-2</v>
      </c>
      <c r="AA30" s="14">
        <f t="shared" si="9"/>
        <v>7.623635517007829E-2</v>
      </c>
      <c r="AB30" s="14">
        <f t="shared" si="10"/>
        <v>5.7693401961875175E-2</v>
      </c>
      <c r="AC30" s="15">
        <f t="shared" si="11"/>
        <v>4.7693097145782484E-3</v>
      </c>
      <c r="AD30" s="15">
        <f t="shared" si="12"/>
        <v>8.7995906295992472E-3</v>
      </c>
      <c r="AE30" s="15">
        <f t="shared" si="13"/>
        <v>1.5418663361910296E-2</v>
      </c>
    </row>
    <row r="31" spans="2:31" x14ac:dyDescent="0.4">
      <c r="B31" s="10" t="s">
        <v>32</v>
      </c>
      <c r="C31">
        <v>2201798.7999999998</v>
      </c>
      <c r="D31">
        <v>13.399559999999999</v>
      </c>
      <c r="E31">
        <v>15552152</v>
      </c>
      <c r="F31" s="10">
        <v>10.47</v>
      </c>
      <c r="G31" s="10">
        <v>0.62699199999999999</v>
      </c>
      <c r="H31">
        <v>22179.42</v>
      </c>
      <c r="K31" s="12">
        <f t="shared" si="14"/>
        <v>4.7552028822978743E-6</v>
      </c>
      <c r="L31" s="12">
        <f t="shared" si="0"/>
        <v>0.78136894047267236</v>
      </c>
      <c r="M31" s="12">
        <f t="shared" si="1"/>
        <v>6.7321872882929643E-7</v>
      </c>
      <c r="O31" s="14">
        <f t="shared" si="2"/>
        <v>2.8476353061869236E-7</v>
      </c>
      <c r="P31" s="14">
        <f t="shared" si="3"/>
        <v>4.6791984214407042E-2</v>
      </c>
      <c r="Q31" s="14">
        <f t="shared" si="4"/>
        <v>4.0315449591799257E-8</v>
      </c>
      <c r="S31" s="15">
        <f t="shared" si="5"/>
        <v>1.0073318234163811E-2</v>
      </c>
      <c r="T31" s="15">
        <f t="shared" si="6"/>
        <v>1655.2349480132184</v>
      </c>
      <c r="U31" s="15">
        <f t="shared" si="7"/>
        <v>1.4261318948014395E-3</v>
      </c>
      <c r="V31" s="10" t="s">
        <v>32</v>
      </c>
      <c r="W31" s="12">
        <f t="shared" si="15"/>
        <v>3.1374356288524474E-2</v>
      </c>
      <c r="X31" s="12">
        <f t="shared" si="16"/>
        <v>0.20600865193232698</v>
      </c>
      <c r="Y31" s="12">
        <f t="shared" si="17"/>
        <v>0.17104057082934232</v>
      </c>
      <c r="Z31" s="14">
        <f t="shared" si="8"/>
        <v>2.0646274784098532E-2</v>
      </c>
      <c r="AA31" s="14">
        <f t="shared" si="9"/>
        <v>0.37965695479831529</v>
      </c>
      <c r="AB31" s="14">
        <f t="shared" si="10"/>
        <v>0.11255531721819903</v>
      </c>
      <c r="AC31" s="15">
        <f t="shared" si="11"/>
        <v>1.7129291109697627E-2</v>
      </c>
      <c r="AD31" s="15">
        <f t="shared" si="12"/>
        <v>0.13604068587126927</v>
      </c>
      <c r="AE31" s="15">
        <f t="shared" si="13"/>
        <v>9.3382114436440872E-2</v>
      </c>
    </row>
    <row r="32" spans="2:31" x14ac:dyDescent="0.4">
      <c r="B32" s="10" t="s">
        <v>33</v>
      </c>
      <c r="C32">
        <v>6299640</v>
      </c>
      <c r="D32">
        <v>11.437580000000001</v>
      </c>
      <c r="E32">
        <v>25367098</v>
      </c>
      <c r="F32" s="10">
        <v>17.21</v>
      </c>
      <c r="G32" s="10">
        <v>0.66436799999999996</v>
      </c>
      <c r="H32">
        <v>23968.848000000002</v>
      </c>
      <c r="K32" s="12">
        <f t="shared" si="14"/>
        <v>2.7319021404397712E-6</v>
      </c>
      <c r="L32" s="12">
        <f t="shared" si="0"/>
        <v>1.5046889289517538</v>
      </c>
      <c r="M32" s="12">
        <f t="shared" si="1"/>
        <v>6.7843787255444044E-7</v>
      </c>
      <c r="O32" s="14">
        <f t="shared" si="2"/>
        <v>1.0546126445320684E-7</v>
      </c>
      <c r="P32" s="14">
        <f t="shared" si="3"/>
        <v>5.8086413384649545E-2</v>
      </c>
      <c r="Q32" s="14">
        <f t="shared" si="4"/>
        <v>2.6190145991472891E-8</v>
      </c>
      <c r="S32" s="15">
        <f t="shared" si="5"/>
        <v>3.8047964645598798E-3</v>
      </c>
      <c r="T32" s="15">
        <f t="shared" si="6"/>
        <v>2095.6223257017655</v>
      </c>
      <c r="U32" s="15">
        <f t="shared" si="7"/>
        <v>9.4487938667639482E-4</v>
      </c>
      <c r="V32" s="10" t="s">
        <v>33</v>
      </c>
      <c r="W32" s="12">
        <f t="shared" si="15"/>
        <v>1.8024818965898935E-2</v>
      </c>
      <c r="X32" s="12">
        <f t="shared" si="16"/>
        <v>0.39671264338115697</v>
      </c>
      <c r="Y32" s="12">
        <f t="shared" si="17"/>
        <v>0.17236656680028234</v>
      </c>
      <c r="Z32" s="14">
        <f t="shared" si="8"/>
        <v>7.6462819527791893E-3</v>
      </c>
      <c r="AA32" s="14">
        <f t="shared" si="9"/>
        <v>0.47129676569650908</v>
      </c>
      <c r="AB32" s="14">
        <f t="shared" si="10"/>
        <v>7.3119367882748559E-2</v>
      </c>
      <c r="AC32" s="15">
        <f t="shared" si="11"/>
        <v>6.469910384996844E-3</v>
      </c>
      <c r="AD32" s="15">
        <f t="shared" si="12"/>
        <v>0.1722353064486746</v>
      </c>
      <c r="AE32" s="15">
        <f t="shared" si="13"/>
        <v>6.1870038344198255E-2</v>
      </c>
    </row>
    <row r="33" spans="2:31" x14ac:dyDescent="0.4">
      <c r="B33" s="10" t="s">
        <v>34</v>
      </c>
      <c r="C33">
        <v>49154.36</v>
      </c>
      <c r="D33">
        <v>13.853</v>
      </c>
      <c r="E33">
        <v>1892776</v>
      </c>
      <c r="F33" s="10">
        <v>7.45</v>
      </c>
      <c r="G33" s="10">
        <v>0.67796100000000004</v>
      </c>
      <c r="H33">
        <v>28906.48</v>
      </c>
      <c r="K33" s="12">
        <f t="shared" si="14"/>
        <v>1.5156336080868513E-4</v>
      </c>
      <c r="L33" s="12">
        <f t="shared" si="0"/>
        <v>0.53778964845159893</v>
      </c>
      <c r="M33" s="12">
        <f t="shared" si="1"/>
        <v>3.9360177855171455E-6</v>
      </c>
      <c r="O33" s="14">
        <f t="shared" si="2"/>
        <v>1.3792489618418388E-5</v>
      </c>
      <c r="P33" s="14">
        <f t="shared" si="3"/>
        <v>4.8939652060925432E-2</v>
      </c>
      <c r="Q33" s="14">
        <f t="shared" si="4"/>
        <v>3.5818343005194487E-7</v>
      </c>
      <c r="S33" s="15">
        <f t="shared" si="5"/>
        <v>0.58807560509383094</v>
      </c>
      <c r="T33" s="15">
        <f t="shared" si="6"/>
        <v>2086.6584855266005</v>
      </c>
      <c r="U33" s="15">
        <f t="shared" si="7"/>
        <v>1.5272002603583308E-2</v>
      </c>
      <c r="V33" s="17" t="s">
        <v>34</v>
      </c>
      <c r="W33" s="11">
        <f t="shared" si="15"/>
        <v>1</v>
      </c>
      <c r="X33" s="11">
        <f t="shared" si="16"/>
        <v>0.14178874378300002</v>
      </c>
      <c r="Y33" s="11">
        <f t="shared" si="17"/>
        <v>1</v>
      </c>
      <c r="Z33" s="13">
        <f t="shared" si="8"/>
        <v>1</v>
      </c>
      <c r="AA33" s="13">
        <f t="shared" si="9"/>
        <v>0.39708252561384777</v>
      </c>
      <c r="AB33" s="13">
        <f t="shared" si="10"/>
        <v>1</v>
      </c>
      <c r="AC33" s="16">
        <f t="shared" si="11"/>
        <v>1</v>
      </c>
      <c r="AD33" s="16">
        <f t="shared" si="12"/>
        <v>0.17149858507450741</v>
      </c>
      <c r="AE33" s="16">
        <f t="shared" si="13"/>
        <v>1</v>
      </c>
    </row>
    <row r="34" spans="2:31" x14ac:dyDescent="0.4">
      <c r="B34" s="10" t="s">
        <v>35</v>
      </c>
      <c r="C34">
        <v>12815863</v>
      </c>
      <c r="D34">
        <v>12.585039999999999</v>
      </c>
      <c r="E34">
        <v>209520130</v>
      </c>
      <c r="F34" s="10">
        <v>10.8</v>
      </c>
      <c r="G34" s="10">
        <v>0.74280800000000002</v>
      </c>
      <c r="H34">
        <v>44912.663999999997</v>
      </c>
      <c r="K34" s="12">
        <f t="shared" si="14"/>
        <v>8.4270563753685574E-7</v>
      </c>
      <c r="L34" s="12">
        <f t="shared" si="0"/>
        <v>0.8581617539554901</v>
      </c>
      <c r="M34" s="12">
        <f t="shared" si="1"/>
        <v>5.1546359769822594E-8</v>
      </c>
      <c r="O34" s="14">
        <f t="shared" si="2"/>
        <v>5.7960045296988587E-8</v>
      </c>
      <c r="P34" s="14">
        <f t="shared" si="3"/>
        <v>5.9023094086312004E-2</v>
      </c>
      <c r="Q34" s="14">
        <f t="shared" si="4"/>
        <v>3.5452822599909615E-9</v>
      </c>
      <c r="S34" s="15">
        <f t="shared" si="5"/>
        <v>3.504458810148017E-3</v>
      </c>
      <c r="T34" s="15">
        <f t="shared" si="6"/>
        <v>3568.7343067642214</v>
      </c>
      <c r="U34" s="15">
        <f t="shared" si="7"/>
        <v>2.1435966081158884E-4</v>
      </c>
      <c r="V34" s="10" t="s">
        <v>35</v>
      </c>
      <c r="W34" s="12">
        <f t="shared" si="15"/>
        <v>5.560088091478674E-3</v>
      </c>
      <c r="X34" s="12">
        <f t="shared" si="16"/>
        <v>0.22625514902768881</v>
      </c>
      <c r="Y34" s="12">
        <f t="shared" si="17"/>
        <v>1.3096068813380634E-2</v>
      </c>
      <c r="Z34" s="14">
        <f t="shared" si="8"/>
        <v>4.2022902971475991E-3</v>
      </c>
      <c r="AA34" s="14">
        <f t="shared" si="9"/>
        <v>0.47889672857010801</v>
      </c>
      <c r="AB34" s="14">
        <f t="shared" si="10"/>
        <v>9.897951615117466E-3</v>
      </c>
      <c r="AC34" s="15">
        <f t="shared" si="11"/>
        <v>5.9591977286472539E-3</v>
      </c>
      <c r="AD34" s="15">
        <f t="shared" si="12"/>
        <v>0.29330764394944153</v>
      </c>
      <c r="AE34" s="15">
        <f t="shared" si="13"/>
        <v>1.4036119975601176E-2</v>
      </c>
    </row>
    <row r="35" spans="2:31" ht="15" customHeight="1" x14ac:dyDescent="0.4">
      <c r="B35" s="10" t="s">
        <v>36</v>
      </c>
      <c r="C35">
        <v>4156485.5</v>
      </c>
      <c r="D35">
        <v>6.8202999999999996</v>
      </c>
      <c r="E35">
        <v>75014970</v>
      </c>
      <c r="F35" s="10">
        <v>6.96</v>
      </c>
      <c r="G35" s="10">
        <v>0.80465399999999998</v>
      </c>
      <c r="H35">
        <v>82983.990000000005</v>
      </c>
      <c r="K35" s="12">
        <f t="shared" si="14"/>
        <v>1.6744915867022752E-6</v>
      </c>
      <c r="L35" s="12">
        <f t="shared" si="0"/>
        <v>1.0204829699573332</v>
      </c>
      <c r="M35" s="12">
        <f t="shared" si="1"/>
        <v>9.2781480816429034E-8</v>
      </c>
      <c r="O35" s="14">
        <f t="shared" si="2"/>
        <v>1.9358999327677191E-7</v>
      </c>
      <c r="P35" s="14">
        <f t="shared" si="3"/>
        <v>0.11797926777414483</v>
      </c>
      <c r="Q35" s="14">
        <f t="shared" si="4"/>
        <v>1.0726578974836622E-8</v>
      </c>
      <c r="S35" s="15">
        <f t="shared" si="5"/>
        <v>1.996494153534278E-2</v>
      </c>
      <c r="T35" s="15">
        <f t="shared" si="6"/>
        <v>12167.205254900813</v>
      </c>
      <c r="U35" s="15">
        <f t="shared" si="7"/>
        <v>1.1062323960137558E-3</v>
      </c>
      <c r="V35" s="17" t="s">
        <v>36</v>
      </c>
      <c r="W35" s="12">
        <f t="shared" si="15"/>
        <v>1.1048129163722798E-2</v>
      </c>
      <c r="X35" s="12">
        <f t="shared" si="16"/>
        <v>0.26905128943778395</v>
      </c>
      <c r="Y35" s="12">
        <f t="shared" si="17"/>
        <v>2.3572424179033189E-2</v>
      </c>
      <c r="Z35" s="14">
        <f t="shared" si="8"/>
        <v>1.4035899147479021E-2</v>
      </c>
      <c r="AA35" s="14">
        <f t="shared" si="9"/>
        <v>0.95725048391249223</v>
      </c>
      <c r="AB35" s="14">
        <f t="shared" si="10"/>
        <v>2.9947166939802379E-2</v>
      </c>
      <c r="AC35" s="15">
        <f t="shared" si="11"/>
        <v>3.394961695810738E-2</v>
      </c>
      <c r="AD35" s="16">
        <f t="shared" si="12"/>
        <v>1</v>
      </c>
      <c r="AE35" s="15">
        <f t="shared" si="13"/>
        <v>7.2435320025037039E-2</v>
      </c>
    </row>
    <row r="36" spans="2:31" x14ac:dyDescent="0.4">
      <c r="B36" s="10" t="s">
        <v>37</v>
      </c>
      <c r="C36">
        <v>27035148</v>
      </c>
      <c r="D36">
        <v>22.587910000000001</v>
      </c>
      <c r="E36">
        <v>353246460</v>
      </c>
      <c r="F36" s="10">
        <v>17.87</v>
      </c>
      <c r="G36" s="10">
        <v>0.65846499999999997</v>
      </c>
      <c r="H36">
        <v>24285.14</v>
      </c>
      <c r="K36" s="12">
        <f t="shared" si="14"/>
        <v>6.6099138795171383E-7</v>
      </c>
      <c r="L36" s="12">
        <f t="shared" si="0"/>
        <v>0.79113118477982247</v>
      </c>
      <c r="M36" s="12">
        <f t="shared" si="1"/>
        <v>5.0587909642463231E-8</v>
      </c>
      <c r="O36" s="14">
        <f t="shared" si="2"/>
        <v>2.4355886640605777E-8</v>
      </c>
      <c r="P36" s="14">
        <f t="shared" si="3"/>
        <v>2.9151214078681913E-2</v>
      </c>
      <c r="Q36" s="14">
        <f t="shared" si="4"/>
        <v>1.8640384959554868E-9</v>
      </c>
      <c r="S36" s="15">
        <f t="shared" si="5"/>
        <v>8.9828026833809079E-4</v>
      </c>
      <c r="T36" s="15">
        <f t="shared" si="6"/>
        <v>1075.1388685363099</v>
      </c>
      <c r="U36" s="15">
        <f t="shared" si="7"/>
        <v>6.8748431336013957E-5</v>
      </c>
      <c r="V36" s="10" t="s">
        <v>37</v>
      </c>
      <c r="W36" s="12">
        <f t="shared" si="15"/>
        <v>4.3611555221849934E-3</v>
      </c>
      <c r="X36" s="12">
        <f t="shared" si="16"/>
        <v>0.20858247677406366</v>
      </c>
      <c r="Y36" s="12">
        <f t="shared" si="17"/>
        <v>1.2852561243144024E-2</v>
      </c>
      <c r="Z36" s="14">
        <f t="shared" si="8"/>
        <v>1.7658803678257701E-3</v>
      </c>
      <c r="AA36" s="14">
        <f t="shared" si="9"/>
        <v>0.23652472430050381</v>
      </c>
      <c r="AB36" s="14">
        <f t="shared" si="10"/>
        <v>5.2041449703163489E-3</v>
      </c>
      <c r="AC36" s="15">
        <f t="shared" si="11"/>
        <v>1.5274911262383769E-3</v>
      </c>
      <c r="AD36" s="15">
        <f t="shared" si="12"/>
        <v>8.8363666594944323E-2</v>
      </c>
      <c r="AE36" s="15">
        <f t="shared" si="13"/>
        <v>4.5015989795525136E-3</v>
      </c>
    </row>
    <row r="37" spans="2:31" x14ac:dyDescent="0.4">
      <c r="B37" s="10" t="s">
        <v>38</v>
      </c>
      <c r="C37">
        <v>3354506.2</v>
      </c>
      <c r="D37">
        <v>8.6753400000000003</v>
      </c>
      <c r="E37">
        <v>63353732</v>
      </c>
      <c r="F37" s="10">
        <v>12.14</v>
      </c>
      <c r="G37" s="10">
        <v>0.62483999999999995</v>
      </c>
      <c r="H37">
        <v>24983.701000000001</v>
      </c>
      <c r="K37" s="12">
        <f t="shared" si="14"/>
        <v>3.619012539013939E-6</v>
      </c>
      <c r="L37" s="12">
        <f t="shared" si="0"/>
        <v>1.3993687855461574</v>
      </c>
      <c r="M37" s="12">
        <f t="shared" si="1"/>
        <v>1.9162249194727787E-7</v>
      </c>
      <c r="O37" s="14">
        <f t="shared" si="2"/>
        <v>1.8626884636552466E-7</v>
      </c>
      <c r="P37" s="14">
        <f t="shared" si="3"/>
        <v>7.2024842830367447E-2</v>
      </c>
      <c r="Q37" s="14">
        <f t="shared" si="4"/>
        <v>9.8627181110656581E-9</v>
      </c>
      <c r="S37" s="15">
        <f t="shared" si="5"/>
        <v>7.4478028986799906E-3</v>
      </c>
      <c r="T37" s="15">
        <f t="shared" si="6"/>
        <v>2879.8526628351165</v>
      </c>
      <c r="U37" s="15">
        <f t="shared" si="7"/>
        <v>3.9435247476817941E-4</v>
      </c>
      <c r="V37" s="10" t="s">
        <v>38</v>
      </c>
      <c r="W37" s="12">
        <f t="shared" si="15"/>
        <v>2.3877885260027543E-2</v>
      </c>
      <c r="X37" s="12">
        <f t="shared" si="16"/>
        <v>0.36894488907141793</v>
      </c>
      <c r="Y37" s="12">
        <f t="shared" si="17"/>
        <v>4.8684356217181313E-2</v>
      </c>
      <c r="Z37" s="14">
        <f t="shared" si="8"/>
        <v>1.3505092374097758E-2</v>
      </c>
      <c r="AA37" s="14">
        <f t="shared" si="9"/>
        <v>0.58438924866933206</v>
      </c>
      <c r="AB37" s="14">
        <f t="shared" si="10"/>
        <v>2.753538350346172E-2</v>
      </c>
      <c r="AC37" s="15">
        <f t="shared" si="11"/>
        <v>1.2664703031664865E-2</v>
      </c>
      <c r="AD37" s="15">
        <f t="shared" si="12"/>
        <v>0.23668974119386571</v>
      </c>
      <c r="AE37" s="15">
        <f t="shared" si="13"/>
        <v>2.5821922966124396E-2</v>
      </c>
    </row>
    <row r="38" spans="2:31" x14ac:dyDescent="0.4">
      <c r="B38" s="10" t="s">
        <v>39</v>
      </c>
      <c r="C38">
        <v>9536401</v>
      </c>
      <c r="D38">
        <v>15.41342</v>
      </c>
      <c r="E38">
        <v>100242660</v>
      </c>
      <c r="F38" s="10">
        <v>20.21</v>
      </c>
      <c r="G38" s="10">
        <v>0.53965700000000005</v>
      </c>
      <c r="H38">
        <v>19162.186000000002</v>
      </c>
      <c r="K38" s="12">
        <f t="shared" si="14"/>
        <v>2.1192481314491703E-6</v>
      </c>
      <c r="L38" s="12">
        <f t="shared" si="0"/>
        <v>1.3111950495088047</v>
      </c>
      <c r="M38" s="12">
        <f t="shared" si="1"/>
        <v>2.0161077130235771E-7</v>
      </c>
      <c r="O38" s="14">
        <f t="shared" si="2"/>
        <v>5.658916817780629E-8</v>
      </c>
      <c r="P38" s="14">
        <f t="shared" si="3"/>
        <v>3.5012151748281692E-2</v>
      </c>
      <c r="Q38" s="14">
        <f t="shared" si="4"/>
        <v>5.3835063834100179E-9</v>
      </c>
      <c r="S38" s="15">
        <f t="shared" si="5"/>
        <v>2.0093729280050202E-3</v>
      </c>
      <c r="T38" s="15">
        <f t="shared" si="6"/>
        <v>1243.2144196421041</v>
      </c>
      <c r="U38" s="15">
        <f t="shared" si="7"/>
        <v>1.9115799600688969E-4</v>
      </c>
      <c r="V38" s="10" t="s">
        <v>39</v>
      </c>
      <c r="W38" s="12">
        <f t="shared" si="15"/>
        <v>1.3982588668802663E-2</v>
      </c>
      <c r="X38" s="12">
        <f t="shared" si="16"/>
        <v>0.34569780110052467</v>
      </c>
      <c r="Y38" s="12">
        <f t="shared" si="17"/>
        <v>5.1222017350683408E-2</v>
      </c>
      <c r="Z38" s="14">
        <f t="shared" si="8"/>
        <v>4.1028972827528935E-3</v>
      </c>
      <c r="AA38" s="14">
        <f t="shared" si="9"/>
        <v>0.28407871854248923</v>
      </c>
      <c r="AB38" s="14">
        <f t="shared" si="10"/>
        <v>1.5030026326536895E-2</v>
      </c>
      <c r="AC38" s="15">
        <f t="shared" si="11"/>
        <v>3.4168615575958347E-3</v>
      </c>
      <c r="AD38" s="15">
        <f t="shared" si="12"/>
        <v>0.1021774839494346</v>
      </c>
      <c r="AE38" s="15">
        <f t="shared" si="13"/>
        <v>1.2516891266246759E-2</v>
      </c>
    </row>
    <row r="39" spans="2:31" x14ac:dyDescent="0.4">
      <c r="B39" s="10" t="s">
        <v>40</v>
      </c>
      <c r="C39">
        <v>3466474</v>
      </c>
      <c r="D39">
        <v>25.332979999999999</v>
      </c>
      <c r="E39">
        <v>45359156</v>
      </c>
      <c r="F39" s="10">
        <v>14.77</v>
      </c>
      <c r="G39" s="10">
        <v>0.47647099999999998</v>
      </c>
      <c r="H39">
        <v>13013.853999999999</v>
      </c>
      <c r="K39" s="12">
        <f t="shared" si="14"/>
        <v>4.2608137259936176E-6</v>
      </c>
      <c r="L39" s="12">
        <f t="shared" si="0"/>
        <v>0.58303444758571632</v>
      </c>
      <c r="M39" s="12">
        <f t="shared" si="1"/>
        <v>3.256233427271001E-7</v>
      </c>
      <c r="O39" s="14">
        <f t="shared" si="2"/>
        <v>1.3745119680689944E-7</v>
      </c>
      <c r="P39" s="14">
        <f t="shared" si="3"/>
        <v>1.8808328116155303E-2</v>
      </c>
      <c r="Q39" s="14">
        <f t="shared" si="4"/>
        <v>1.0504406210732845E-8</v>
      </c>
      <c r="S39" s="15">
        <f t="shared" si="5"/>
        <v>3.7542049933159743E-3</v>
      </c>
      <c r="T39" s="15">
        <f t="shared" si="6"/>
        <v>513.71192808741807</v>
      </c>
      <c r="U39" s="15">
        <f t="shared" si="7"/>
        <v>2.8690688160070701E-4</v>
      </c>
      <c r="V39" s="10" t="s">
        <v>40</v>
      </c>
      <c r="W39" s="12">
        <f t="shared" si="15"/>
        <v>2.8112425742339815E-2</v>
      </c>
      <c r="X39" s="12">
        <f t="shared" si="16"/>
        <v>0.15371757738998984</v>
      </c>
      <c r="Y39" s="12">
        <f t="shared" si="17"/>
        <v>8.2729133980352962E-2</v>
      </c>
      <c r="Z39" s="14">
        <f t="shared" si="8"/>
        <v>9.9656552667147305E-3</v>
      </c>
      <c r="AA39" s="14">
        <f t="shared" si="9"/>
        <v>0.15260546645569398</v>
      </c>
      <c r="AB39" s="14">
        <f t="shared" si="10"/>
        <v>2.932689044049152E-2</v>
      </c>
      <c r="AC39" s="15">
        <f t="shared" si="11"/>
        <v>6.3838815295134861E-3</v>
      </c>
      <c r="AD39" s="15">
        <f t="shared" si="12"/>
        <v>4.2221029178454987E-2</v>
      </c>
      <c r="AE39" s="15">
        <f t="shared" si="13"/>
        <v>1.8786461019420553E-2</v>
      </c>
    </row>
    <row r="40" spans="2:31" x14ac:dyDescent="0.4">
      <c r="B40" s="10" t="s">
        <v>41</v>
      </c>
      <c r="C40">
        <v>3237510.5</v>
      </c>
      <c r="D40">
        <v>19.049779999999998</v>
      </c>
      <c r="E40">
        <v>62561244</v>
      </c>
      <c r="F40" s="10">
        <v>19.59</v>
      </c>
      <c r="G40" s="10">
        <v>0.65545699999999996</v>
      </c>
      <c r="H40">
        <v>24647.719000000001</v>
      </c>
      <c r="K40" s="12">
        <f t="shared" si="14"/>
        <v>6.0509456262767334E-6</v>
      </c>
      <c r="L40" s="12">
        <f t="shared" si="0"/>
        <v>1.0283583327471499</v>
      </c>
      <c r="M40" s="12">
        <f t="shared" si="1"/>
        <v>3.1313315956441021E-7</v>
      </c>
      <c r="O40" s="14">
        <f t="shared" si="2"/>
        <v>2.02457104000126E-7</v>
      </c>
      <c r="P40" s="14">
        <f t="shared" si="3"/>
        <v>3.4407588959032599E-2</v>
      </c>
      <c r="Q40" s="14">
        <f t="shared" si="4"/>
        <v>1.0477045501205187E-8</v>
      </c>
      <c r="S40" s="15">
        <f t="shared" si="5"/>
        <v>7.6131703665517072E-3</v>
      </c>
      <c r="T40" s="15">
        <f t="shared" si="6"/>
        <v>1293.8584592577974</v>
      </c>
      <c r="U40" s="15">
        <f t="shared" si="7"/>
        <v>3.9397744392678639E-4</v>
      </c>
      <c r="V40" s="10" t="s">
        <v>41</v>
      </c>
      <c r="W40" s="12">
        <f t="shared" si="15"/>
        <v>3.9923538208648593E-2</v>
      </c>
      <c r="X40" s="12">
        <f t="shared" si="16"/>
        <v>0.27112763620276636</v>
      </c>
      <c r="Y40" s="12">
        <f t="shared" si="17"/>
        <v>7.9555829426535038E-2</v>
      </c>
      <c r="Z40" s="14">
        <f t="shared" si="8"/>
        <v>1.4678793285424431E-2</v>
      </c>
      <c r="AA40" s="14">
        <f t="shared" si="9"/>
        <v>0.27917346668356047</v>
      </c>
      <c r="AB40" s="14">
        <f t="shared" si="10"/>
        <v>2.9250503016529195E-2</v>
      </c>
      <c r="AC40" s="15">
        <f t="shared" si="11"/>
        <v>1.2945904065068268E-2</v>
      </c>
      <c r="AD40" s="15">
        <f t="shared" si="12"/>
        <v>0.10633982349698966</v>
      </c>
      <c r="AE40" s="15">
        <f t="shared" si="13"/>
        <v>2.5797366210135824E-2</v>
      </c>
    </row>
    <row r="41" spans="2:31" x14ac:dyDescent="0.4">
      <c r="B41" s="10" t="s">
        <v>42</v>
      </c>
      <c r="C41">
        <v>794894.94</v>
      </c>
      <c r="D41">
        <v>17.55293</v>
      </c>
      <c r="E41">
        <v>20779568</v>
      </c>
      <c r="F41" s="10">
        <v>19.940000000000001</v>
      </c>
      <c r="G41" s="10">
        <v>0.72378500000000001</v>
      </c>
      <c r="H41">
        <v>26186.248</v>
      </c>
      <c r="K41" s="12">
        <f t="shared" si="14"/>
        <v>2.5085076022750884E-5</v>
      </c>
      <c r="L41" s="12">
        <f t="shared" si="0"/>
        <v>1.1359926804242939</v>
      </c>
      <c r="M41" s="12">
        <f t="shared" si="1"/>
        <v>9.5959646514306755E-7</v>
      </c>
      <c r="O41" s="14">
        <f t="shared" si="2"/>
        <v>9.1054171259411972E-7</v>
      </c>
      <c r="P41" s="14">
        <f t="shared" si="3"/>
        <v>4.1234426389212514E-2</v>
      </c>
      <c r="Q41" s="14">
        <f t="shared" si="4"/>
        <v>3.4831571089447099E-8</v>
      </c>
      <c r="S41" s="15">
        <f t="shared" si="5"/>
        <v>3.2943030182076644E-2</v>
      </c>
      <c r="T41" s="15">
        <f t="shared" si="6"/>
        <v>1491.8448373006672</v>
      </c>
      <c r="U41" s="15">
        <f t="shared" si="7"/>
        <v>1.2601921271895547E-3</v>
      </c>
      <c r="V41" s="10" t="s">
        <v>42</v>
      </c>
      <c r="W41" s="12">
        <f t="shared" si="15"/>
        <v>0.16550883992612955</v>
      </c>
      <c r="X41" s="12">
        <f t="shared" si="16"/>
        <v>0.29950553263306262</v>
      </c>
      <c r="Y41" s="12">
        <f t="shared" si="17"/>
        <v>0.24379881327619257</v>
      </c>
      <c r="Z41" s="14">
        <f t="shared" si="8"/>
        <v>6.6017212104926226E-2</v>
      </c>
      <c r="AA41" s="14">
        <f t="shared" si="9"/>
        <v>0.33456449899732249</v>
      </c>
      <c r="AB41" s="14">
        <f t="shared" si="10"/>
        <v>9.7245065424706317E-2</v>
      </c>
      <c r="AC41" s="15">
        <f t="shared" si="11"/>
        <v>5.6018358688455352E-2</v>
      </c>
      <c r="AD41" s="15">
        <f t="shared" si="12"/>
        <v>0.12261195615975731</v>
      </c>
      <c r="AE41" s="15">
        <f t="shared" si="13"/>
        <v>8.2516495046554839E-2</v>
      </c>
    </row>
    <row r="42" spans="2:31" x14ac:dyDescent="0.4">
      <c r="B42" s="10" t="s">
        <v>43</v>
      </c>
      <c r="C42">
        <v>21216588</v>
      </c>
      <c r="D42">
        <v>11.11022</v>
      </c>
      <c r="E42">
        <v>324089500</v>
      </c>
      <c r="F42" s="10">
        <v>11.29</v>
      </c>
      <c r="G42" s="5">
        <v>0.66597989999999996</v>
      </c>
      <c r="H42" s="4">
        <v>32057.098000000002</v>
      </c>
      <c r="K42" s="12">
        <f t="shared" si="14"/>
        <v>5.3213080255882796E-7</v>
      </c>
      <c r="L42" s="12">
        <f t="shared" si="0"/>
        <v>1.0161814977561199</v>
      </c>
      <c r="M42" s="12">
        <f t="shared" si="1"/>
        <v>3.4836056089444422E-8</v>
      </c>
      <c r="O42" s="14">
        <f t="shared" si="2"/>
        <v>3.1389585356514436E-8</v>
      </c>
      <c r="P42" s="14">
        <f t="shared" si="3"/>
        <v>5.9942998428473962E-2</v>
      </c>
      <c r="Q42" s="14">
        <f t="shared" si="4"/>
        <v>2.0549258769568281E-9</v>
      </c>
      <c r="S42" s="15">
        <f t="shared" si="5"/>
        <v>1.5109450209430471E-3</v>
      </c>
      <c r="T42" s="15">
        <f t="shared" si="6"/>
        <v>2885.3702266921809</v>
      </c>
      <c r="U42" s="15">
        <f t="shared" si="7"/>
        <v>9.8914336934704768E-5</v>
      </c>
      <c r="V42" s="10" t="s">
        <v>43</v>
      </c>
      <c r="W42" s="12">
        <f t="shared" si="15"/>
        <v>3.5109461793376576E-3</v>
      </c>
      <c r="X42" s="12">
        <f t="shared" si="16"/>
        <v>0.26791720226897447</v>
      </c>
      <c r="Y42" s="12">
        <f t="shared" si="17"/>
        <v>8.8505840135240602E-3</v>
      </c>
      <c r="Z42" s="14">
        <f t="shared" si="8"/>
        <v>2.2758462195684396E-3</v>
      </c>
      <c r="AA42" s="14">
        <f t="shared" si="9"/>
        <v>0.48636057279715883</v>
      </c>
      <c r="AB42" s="14">
        <f t="shared" si="10"/>
        <v>5.7370768844857405E-3</v>
      </c>
      <c r="AC42" s="15">
        <f t="shared" si="11"/>
        <v>2.569304028011784E-3</v>
      </c>
      <c r="AD42" s="15">
        <f t="shared" si="12"/>
        <v>0.23714321951871292</v>
      </c>
      <c r="AE42" s="15">
        <f t="shared" si="13"/>
        <v>6.4768412828515526E-3</v>
      </c>
    </row>
    <row r="43" spans="2:31" x14ac:dyDescent="0.4">
      <c r="B43" s="10" t="s">
        <v>44</v>
      </c>
      <c r="C43">
        <v>9205298</v>
      </c>
      <c r="D43">
        <v>6.3726599999999998</v>
      </c>
      <c r="E43">
        <v>75343464</v>
      </c>
      <c r="F43" s="10">
        <v>13.61</v>
      </c>
      <c r="G43" s="10">
        <v>0.78541799999999995</v>
      </c>
      <c r="H43">
        <v>43782.457000000002</v>
      </c>
      <c r="K43" s="12">
        <f t="shared" si="14"/>
        <v>1.4784964050050308E-6</v>
      </c>
      <c r="L43" s="12">
        <f t="shared" si="0"/>
        <v>2.1356858831320045</v>
      </c>
      <c r="M43" s="12">
        <f t="shared" si="1"/>
        <v>1.8063942480797007E-7</v>
      </c>
      <c r="O43" s="14">
        <f t="shared" si="2"/>
        <v>8.5322387173125728E-8</v>
      </c>
      <c r="P43" s="14">
        <f t="shared" si="3"/>
        <v>0.12324806281835214</v>
      </c>
      <c r="Q43" s="14">
        <f t="shared" si="4"/>
        <v>1.0424500790141531E-8</v>
      </c>
      <c r="S43" s="15">
        <f t="shared" si="5"/>
        <v>4.7562237528866527E-3</v>
      </c>
      <c r="T43" s="15">
        <f t="shared" si="6"/>
        <v>6870.3582177615008</v>
      </c>
      <c r="U43" s="15">
        <f t="shared" si="7"/>
        <v>5.8110491176779455E-4</v>
      </c>
      <c r="V43" s="17" t="s">
        <v>44</v>
      </c>
      <c r="W43" s="12">
        <f t="shared" si="15"/>
        <v>9.7549724228621591E-3</v>
      </c>
      <c r="X43" s="12">
        <f t="shared" si="16"/>
        <v>0.56307558049181639</v>
      </c>
      <c r="Y43" s="12">
        <f t="shared" si="17"/>
        <v>4.5893955426889975E-2</v>
      </c>
      <c r="Z43" s="14">
        <f t="shared" si="8"/>
        <v>6.186148370138111E-3</v>
      </c>
      <c r="AA43" s="13">
        <f t="shared" si="9"/>
        <v>1</v>
      </c>
      <c r="AB43" s="14">
        <f t="shared" si="10"/>
        <v>2.9103805244786833E-2</v>
      </c>
      <c r="AC43" s="15">
        <f t="shared" si="11"/>
        <v>8.0877759792939707E-3</v>
      </c>
      <c r="AD43" s="15">
        <f t="shared" si="12"/>
        <v>0.56466198061335393</v>
      </c>
      <c r="AE43" s="15">
        <f t="shared" si="13"/>
        <v>3.8050341324028354E-2</v>
      </c>
    </row>
    <row r="44" spans="2:31" x14ac:dyDescent="0.4">
      <c r="B44" s="10" t="s">
        <v>45</v>
      </c>
      <c r="C44">
        <v>2282562.7999999998</v>
      </c>
      <c r="D44">
        <v>10.81907</v>
      </c>
      <c r="E44">
        <v>45879580</v>
      </c>
      <c r="F44" s="10">
        <v>17.12</v>
      </c>
      <c r="G44" s="10">
        <v>0.84757000000000005</v>
      </c>
      <c r="H44">
        <v>60070.866999999998</v>
      </c>
      <c r="K44" s="12">
        <f t="shared" si="14"/>
        <v>7.5003412830525422E-6</v>
      </c>
      <c r="L44" s="12">
        <f t="shared" si="0"/>
        <v>1.582391092764905</v>
      </c>
      <c r="M44" s="12">
        <f t="shared" si="1"/>
        <v>3.7315075682907301E-7</v>
      </c>
      <c r="O44" s="14">
        <f t="shared" si="2"/>
        <v>3.7132384703719877E-7</v>
      </c>
      <c r="P44" s="14">
        <f t="shared" si="3"/>
        <v>7.8340374912076557E-2</v>
      </c>
      <c r="Q44" s="14">
        <f t="shared" si="4"/>
        <v>1.8473795967617839E-8</v>
      </c>
      <c r="S44" s="15">
        <f t="shared" si="5"/>
        <v>2.6317289933928654E-2</v>
      </c>
      <c r="T44" s="15">
        <f t="shared" si="6"/>
        <v>5552.3133688939988</v>
      </c>
      <c r="U44" s="15">
        <f t="shared" si="7"/>
        <v>1.3093159745577443E-3</v>
      </c>
      <c r="V44" s="10" t="s">
        <v>45</v>
      </c>
      <c r="W44" s="12">
        <f t="shared" si="15"/>
        <v>4.9486506785238464E-2</v>
      </c>
      <c r="X44" s="12">
        <f t="shared" si="16"/>
        <v>0.41719889154158274</v>
      </c>
      <c r="Y44" s="12">
        <f t="shared" si="17"/>
        <v>9.4804133813141664E-2</v>
      </c>
      <c r="Z44" s="14">
        <f t="shared" si="8"/>
        <v>2.6922177018812884E-2</v>
      </c>
      <c r="AA44" s="14">
        <f t="shared" si="9"/>
        <v>0.63563169368055461</v>
      </c>
      <c r="AB44" s="14">
        <f t="shared" si="10"/>
        <v>5.1576355625771723E-2</v>
      </c>
      <c r="AC44" s="15">
        <f t="shared" si="11"/>
        <v>4.4751541648678957E-2</v>
      </c>
      <c r="AD44" s="15">
        <f t="shared" si="12"/>
        <v>0.45633432267920271</v>
      </c>
      <c r="AE44" s="15">
        <f t="shared" si="13"/>
        <v>8.5733090056606995E-2</v>
      </c>
    </row>
    <row r="45" spans="2:31" x14ac:dyDescent="0.4">
      <c r="B45" s="10" t="s">
        <v>46</v>
      </c>
      <c r="C45">
        <v>1821999.2</v>
      </c>
      <c r="D45">
        <v>63.279150000000001</v>
      </c>
      <c r="E45">
        <v>16845876</v>
      </c>
      <c r="F45" s="10">
        <v>10.08</v>
      </c>
      <c r="G45" s="10">
        <v>0.24573400000000001</v>
      </c>
      <c r="H45">
        <v>3784.3434999999999</v>
      </c>
      <c r="K45" s="12">
        <f t="shared" si="14"/>
        <v>5.5323844269525476E-6</v>
      </c>
      <c r="L45" s="12">
        <f t="shared" si="0"/>
        <v>0.15929417509558835</v>
      </c>
      <c r="M45" s="12">
        <f t="shared" si="1"/>
        <v>5.9836603332471398E-7</v>
      </c>
      <c r="O45" s="14">
        <f t="shared" si="2"/>
        <v>1.348705312274561E-7</v>
      </c>
      <c r="P45" s="14">
        <f t="shared" si="3"/>
        <v>3.8833328197360427E-3</v>
      </c>
      <c r="Q45" s="14">
        <f t="shared" si="4"/>
        <v>1.4587190360418183E-8</v>
      </c>
      <c r="S45" s="15">
        <f t="shared" si="5"/>
        <v>2.0770280799245139E-3</v>
      </c>
      <c r="T45" s="15">
        <f t="shared" si="6"/>
        <v>59.803955963378144</v>
      </c>
      <c r="U45" s="15">
        <f t="shared" si="7"/>
        <v>2.2464510008265523E-4</v>
      </c>
      <c r="V45" s="10" t="s">
        <v>46</v>
      </c>
      <c r="W45" s="12">
        <f t="shared" si="15"/>
        <v>3.6502122923599896E-2</v>
      </c>
      <c r="X45" s="12">
        <f t="shared" si="16"/>
        <v>4.1998058244115628E-2</v>
      </c>
      <c r="Y45" s="12">
        <f t="shared" si="17"/>
        <v>0.15202320363653943</v>
      </c>
      <c r="Z45" s="14">
        <f t="shared" si="8"/>
        <v>9.7785486854636457E-3</v>
      </c>
      <c r="AA45" s="14">
        <f t="shared" si="9"/>
        <v>3.1508266588006754E-2</v>
      </c>
      <c r="AB45" s="14">
        <f t="shared" si="10"/>
        <v>4.0725475096105655E-2</v>
      </c>
      <c r="AC45" s="15">
        <f t="shared" si="11"/>
        <v>3.5319065472765392E-3</v>
      </c>
      <c r="AD45" s="15">
        <f t="shared" si="12"/>
        <v>4.9151760581411892E-3</v>
      </c>
      <c r="AE45" s="15">
        <f t="shared" si="13"/>
        <v>1.4709603312269354E-2</v>
      </c>
    </row>
    <row r="46" spans="2:31" x14ac:dyDescent="0.4">
      <c r="B46" s="10" t="s">
        <v>47</v>
      </c>
      <c r="C46">
        <v>23037010</v>
      </c>
      <c r="D46">
        <v>14.66802</v>
      </c>
      <c r="E46">
        <v>312214500</v>
      </c>
      <c r="F46" s="10">
        <v>11.9</v>
      </c>
      <c r="G46" s="10">
        <v>0.41184900000000002</v>
      </c>
      <c r="H46">
        <v>8959.1740000000009</v>
      </c>
      <c r="K46" s="12">
        <f t="shared" si="14"/>
        <v>5.1656009178274434E-7</v>
      </c>
      <c r="L46" s="12">
        <f t="shared" si="0"/>
        <v>0.8112887765356197</v>
      </c>
      <c r="M46" s="12">
        <f t="shared" si="1"/>
        <v>3.8114821701106131E-8</v>
      </c>
      <c r="O46" s="14">
        <f t="shared" si="2"/>
        <v>1.7877710692490042E-8</v>
      </c>
      <c r="P46" s="14">
        <f t="shared" si="3"/>
        <v>2.8078022800623399E-2</v>
      </c>
      <c r="Q46" s="14">
        <f t="shared" si="4"/>
        <v>1.3191219498133495E-9</v>
      </c>
      <c r="S46" s="15">
        <f t="shared" si="5"/>
        <v>3.8890350787710735E-4</v>
      </c>
      <c r="T46" s="15">
        <f t="shared" si="6"/>
        <v>610.79641287644824</v>
      </c>
      <c r="U46" s="15">
        <f t="shared" si="7"/>
        <v>2.8695573075561837E-5</v>
      </c>
      <c r="V46" s="10" t="s">
        <v>47</v>
      </c>
      <c r="W46" s="12">
        <f t="shared" si="15"/>
        <v>3.4082121762579942E-3</v>
      </c>
      <c r="X46" s="12">
        <f t="shared" si="16"/>
        <v>0.21389704469290355</v>
      </c>
      <c r="Y46" s="12">
        <f t="shared" si="17"/>
        <v>9.6835999678030679E-3</v>
      </c>
      <c r="Z46" s="14">
        <f t="shared" si="8"/>
        <v>1.2961917091905062E-3</v>
      </c>
      <c r="AA46" s="14">
        <f t="shared" si="9"/>
        <v>0.22781715313453565</v>
      </c>
      <c r="AB46" s="14">
        <f t="shared" si="10"/>
        <v>3.6828112054821918E-3</v>
      </c>
      <c r="AC46" s="15">
        <f t="shared" si="11"/>
        <v>6.6131549159407067E-4</v>
      </c>
      <c r="AD46" s="15">
        <f t="shared" si="12"/>
        <v>5.0200222654288362E-2</v>
      </c>
      <c r="AE46" s="15">
        <f t="shared" si="13"/>
        <v>1.8789659627761537E-3</v>
      </c>
    </row>
    <row r="47" spans="2:31" x14ac:dyDescent="0.4">
      <c r="B47" s="10" t="s">
        <v>48</v>
      </c>
      <c r="C47">
        <v>30488942</v>
      </c>
      <c r="D47">
        <v>11.082789999999999</v>
      </c>
      <c r="E47">
        <v>517176200</v>
      </c>
      <c r="F47" s="10">
        <v>9.2899999999999991</v>
      </c>
      <c r="G47" s="10">
        <v>0.78159500000000004</v>
      </c>
      <c r="H47">
        <v>37101.226999999999</v>
      </c>
      <c r="K47" s="12">
        <f t="shared" si="14"/>
        <v>3.0470063539758117E-7</v>
      </c>
      <c r="L47" s="12">
        <f t="shared" si="0"/>
        <v>0.83823658122187639</v>
      </c>
      <c r="M47" s="12">
        <f t="shared" si="1"/>
        <v>1.7962930235382059E-8</v>
      </c>
      <c r="O47" s="14">
        <f t="shared" si="2"/>
        <v>2.5635359862601991E-8</v>
      </c>
      <c r="P47" s="14">
        <f t="shared" si="3"/>
        <v>7.052330685684742E-2</v>
      </c>
      <c r="Q47" s="14">
        <f t="shared" si="4"/>
        <v>1.5112741073545149E-9</v>
      </c>
      <c r="S47" s="15">
        <f t="shared" si="5"/>
        <v>1.2168748590882556E-3</v>
      </c>
      <c r="T47" s="15">
        <f t="shared" si="6"/>
        <v>3347.6432378489535</v>
      </c>
      <c r="U47" s="15">
        <f t="shared" si="7"/>
        <v>7.1738078821105848E-5</v>
      </c>
      <c r="V47" s="10" t="s">
        <v>48</v>
      </c>
      <c r="W47" s="12">
        <f t="shared" si="15"/>
        <v>2.0103845267867714E-3</v>
      </c>
      <c r="X47" s="12">
        <f t="shared" si="16"/>
        <v>0.22100185860141791</v>
      </c>
      <c r="Y47" s="12">
        <f t="shared" si="17"/>
        <v>4.5637319784168472E-3</v>
      </c>
      <c r="Z47" s="14">
        <f t="shared" si="8"/>
        <v>1.8586463047518792E-3</v>
      </c>
      <c r="AA47" s="14">
        <f t="shared" si="9"/>
        <v>0.57220620952710188</v>
      </c>
      <c r="AB47" s="14">
        <f t="shared" si="10"/>
        <v>4.2192742057759209E-3</v>
      </c>
      <c r="AC47" s="15">
        <f t="shared" si="11"/>
        <v>2.0692490022504776E-3</v>
      </c>
      <c r="AD47" s="15">
        <f t="shared" si="12"/>
        <v>0.27513657965953692</v>
      </c>
      <c r="AE47" s="15">
        <f t="shared" si="13"/>
        <v>4.6973589962768713E-3</v>
      </c>
    </row>
    <row r="48" spans="2:31" x14ac:dyDescent="0.4">
      <c r="B48" s="10" t="s">
        <v>49</v>
      </c>
      <c r="C48">
        <v>251828430</v>
      </c>
      <c r="D48">
        <v>8.3103599999999993</v>
      </c>
      <c r="E48">
        <v>6248505300</v>
      </c>
      <c r="F48" s="10">
        <v>11.7</v>
      </c>
      <c r="G48" s="6">
        <v>0.77281093999999995</v>
      </c>
      <c r="H48">
        <v>52808.152000000002</v>
      </c>
      <c r="K48" s="12">
        <f t="shared" si="14"/>
        <v>4.646020308350411E-8</v>
      </c>
      <c r="L48" s="12">
        <f t="shared" si="0"/>
        <v>1.4078812470217896</v>
      </c>
      <c r="M48" s="12">
        <f t="shared" si="1"/>
        <v>1.8724477996361785E-9</v>
      </c>
      <c r="O48" s="14">
        <f t="shared" si="2"/>
        <v>3.0687994203037361E-9</v>
      </c>
      <c r="P48" s="14">
        <f t="shared" si="3"/>
        <v>9.299367777087876E-2</v>
      </c>
      <c r="Q48" s="14">
        <f t="shared" si="4"/>
        <v>1.2367932855878349E-10</v>
      </c>
      <c r="S48" s="15">
        <f t="shared" si="5"/>
        <v>2.0969892875081659E-4</v>
      </c>
      <c r="T48" s="15">
        <f t="shared" si="6"/>
        <v>6354.4963154424122</v>
      </c>
      <c r="U48" s="15">
        <f t="shared" si="7"/>
        <v>8.4513254713891342E-6</v>
      </c>
      <c r="V48" s="10" t="s">
        <v>49</v>
      </c>
      <c r="W48" s="12">
        <f t="shared" si="15"/>
        <v>3.0653980510599613E-4</v>
      </c>
      <c r="X48" s="12">
        <f t="shared" si="16"/>
        <v>0.37118920750076329</v>
      </c>
      <c r="Y48" s="12">
        <f t="shared" si="17"/>
        <v>4.7572137669854591E-4</v>
      </c>
      <c r="Z48" s="14">
        <f t="shared" si="8"/>
        <v>2.2249785971966107E-4</v>
      </c>
      <c r="AA48" s="14">
        <f t="shared" si="9"/>
        <v>0.75452445778345834</v>
      </c>
      <c r="AB48" s="14">
        <f t="shared" si="10"/>
        <v>3.452960639213465E-4</v>
      </c>
      <c r="AC48" s="15">
        <f t="shared" si="11"/>
        <v>3.5658498147930805E-4</v>
      </c>
      <c r="AD48" s="15">
        <f t="shared" si="12"/>
        <v>0.52226424904625435</v>
      </c>
      <c r="AE48" s="15">
        <f t="shared" si="13"/>
        <v>5.5338685375853577E-4</v>
      </c>
    </row>
    <row r="49" spans="2:31" x14ac:dyDescent="0.4">
      <c r="B49" s="10" t="s">
        <v>50</v>
      </c>
      <c r="C49">
        <v>12312490</v>
      </c>
      <c r="D49">
        <v>48.461559999999999</v>
      </c>
      <c r="E49">
        <v>178154300</v>
      </c>
      <c r="F49" s="10">
        <v>12.81</v>
      </c>
      <c r="G49" s="10">
        <v>0.27352799999999999</v>
      </c>
      <c r="H49">
        <v>9381.3469999999998</v>
      </c>
      <c r="K49" s="12">
        <f t="shared" si="14"/>
        <v>1.0404069363711158E-6</v>
      </c>
      <c r="L49" s="12">
        <f t="shared" si="0"/>
        <v>0.26433321585190406</v>
      </c>
      <c r="M49" s="12">
        <f t="shared" si="1"/>
        <v>7.1903961902687734E-8</v>
      </c>
      <c r="O49" s="14">
        <f t="shared" si="2"/>
        <v>2.2215490124255936E-8</v>
      </c>
      <c r="P49" s="14">
        <f t="shared" si="3"/>
        <v>5.6442260628836545E-3</v>
      </c>
      <c r="Q49" s="14">
        <f t="shared" si="4"/>
        <v>1.5353432389787952E-9</v>
      </c>
      <c r="S49" s="15">
        <f t="shared" si="5"/>
        <v>7.6193743101517241E-4</v>
      </c>
      <c r="T49" s="15">
        <f t="shared" si="6"/>
        <v>193.58326475664424</v>
      </c>
      <c r="U49" s="15">
        <f t="shared" si="7"/>
        <v>5.2658549358617783E-5</v>
      </c>
      <c r="V49" s="10" t="s">
        <v>50</v>
      </c>
      <c r="W49" s="12">
        <f t="shared" si="15"/>
        <v>6.8645016237426741E-3</v>
      </c>
      <c r="X49" s="12">
        <f t="shared" si="16"/>
        <v>6.9691699577470054E-2</v>
      </c>
      <c r="Y49" s="12">
        <f t="shared" si="17"/>
        <v>1.8268200455613646E-2</v>
      </c>
      <c r="Z49" s="14">
        <f t="shared" si="8"/>
        <v>1.6106947142153028E-3</v>
      </c>
      <c r="AA49" s="14">
        <f t="shared" si="9"/>
        <v>4.5795657423048815E-2</v>
      </c>
      <c r="AB49" s="14">
        <f t="shared" si="10"/>
        <v>4.2864719865911578E-3</v>
      </c>
      <c r="AC49" s="15">
        <f t="shared" si="11"/>
        <v>1.295645363309367E-3</v>
      </c>
      <c r="AD49" s="15">
        <f t="shared" si="12"/>
        <v>1.5910248960308373E-2</v>
      </c>
      <c r="AE49" s="15">
        <f t="shared" si="13"/>
        <v>3.4480448128173039E-3</v>
      </c>
    </row>
  </sheetData>
  <mergeCells count="2">
    <mergeCell ref="C4:E4"/>
    <mergeCell ref="F4:H4"/>
  </mergeCells>
  <conditionalFormatting sqref="B6:B7">
    <cfRule type="duplicateValues" dxfId="7" priority="15"/>
  </conditionalFormatting>
  <conditionalFormatting sqref="B6:B49">
    <cfRule type="duplicateValues" dxfId="6" priority="9"/>
    <cfRule type="duplicateValues" dxfId="5" priority="10"/>
    <cfRule type="duplicateValues" dxfId="4" priority="11"/>
  </conditionalFormatting>
  <conditionalFormatting sqref="V6:V7">
    <cfRule type="duplicateValues" dxfId="3" priority="4"/>
  </conditionalFormatting>
  <conditionalFormatting sqref="V6:V49">
    <cfRule type="duplicateValues" dxfId="2" priority="1"/>
    <cfRule type="duplicateValues" dxfId="1" priority="2"/>
    <cfRule type="duplicateValues" dxfId="0" priority="3"/>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30AEA-6004-4108-A0D2-E6E22B3F813A}">
  <dimension ref="A1"/>
  <sheetViews>
    <sheetView tabSelected="1" zoomScale="45" workbookViewId="0">
      <selection activeCell="L9" sqref="L9"/>
    </sheetView>
  </sheetViews>
  <sheetFormatPr defaultRowHeight="14.6" x14ac:dyDescent="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 data</vt:lpstr>
      <vt:lpstr>Short_Raw data_finalversion</vt:lpstr>
      <vt:lpstr>Short_Raw data</vt:lpstr>
      <vt:lpstr>CCR_Results</vt:lpstr>
      <vt:lpstr>Short_Version_Efficiency_Slack</vt:lpstr>
      <vt:lpstr>Lambda Weights</vt:lpstr>
      <vt:lpstr>Data definition</vt:lpstr>
      <vt:lpstr>44 DMUS</vt:lpstr>
      <vt:lpstr>Plots if needed </vt:lpstr>
      <vt:lpstr>BCC_Results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 Nguyên</dc:creator>
  <cp:keywords/>
  <dc:description/>
  <cp:lastModifiedBy>Louise Caustur</cp:lastModifiedBy>
  <cp:revision/>
  <dcterms:created xsi:type="dcterms:W3CDTF">2024-11-24T11:41:02Z</dcterms:created>
  <dcterms:modified xsi:type="dcterms:W3CDTF">2024-12-11T22:57:23Z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0x0101003F0EAA9B852C57478D20A07D65135717</vt:lpwstr>
  </property>
</Properties>
</file>