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6A\"/>
    </mc:Choice>
  </mc:AlternateContent>
  <xr:revisionPtr revIDLastSave="0" documentId="8_{A2393C15-4601-4842-871F-4E30D1A62396}" xr6:coauthVersionLast="32" xr6:coauthVersionMax="32" xr10:uidLastSave="{00000000-0000-0000-0000-000000000000}"/>
  <bookViews>
    <workbookView xWindow="240" yWindow="120" windowWidth="11580" windowHeight="5775" firstSheet="4" activeTab="4" xr2:uid="{00000000-000D-0000-FFFF-FFFF00000000}"/>
  </bookViews>
  <sheets>
    <sheet name="productos" sheetId="1" r:id="rId1"/>
    <sheet name="rubros" sheetId="2" r:id="rId2"/>
    <sheet name="marcas" sheetId="5" r:id="rId3"/>
    <sheet name="precios" sheetId="4" r:id="rId4"/>
    <sheet name="gestion" sheetId="3" r:id="rId5"/>
  </sheets>
  <calcPr calcId="179016"/>
</workbook>
</file>

<file path=xl/calcChain.xml><?xml version="1.0" encoding="utf-8"?>
<calcChain xmlns="http://schemas.openxmlformats.org/spreadsheetml/2006/main">
  <c r="D3" i="3" l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F3" i="3"/>
  <c r="G3" i="3"/>
  <c r="M3" i="3"/>
  <c r="H3" i="3"/>
  <c r="I3" i="3"/>
  <c r="D5" i="3"/>
  <c r="F5" i="3"/>
  <c r="G5" i="3"/>
  <c r="J3" i="3"/>
  <c r="K3" i="3"/>
  <c r="D4" i="3"/>
  <c r="F4" i="3"/>
  <c r="G4" i="3"/>
  <c r="M4" i="3"/>
  <c r="H4" i="3"/>
  <c r="I4" i="3"/>
  <c r="D6" i="3"/>
  <c r="F6" i="3"/>
  <c r="G6" i="3"/>
  <c r="J4" i="3"/>
  <c r="K4" i="3"/>
  <c r="M5" i="3"/>
  <c r="H5" i="3"/>
  <c r="I5" i="3"/>
  <c r="D7" i="3"/>
  <c r="F7" i="3"/>
  <c r="G7" i="3"/>
  <c r="J5" i="3"/>
  <c r="K5" i="3"/>
  <c r="M6" i="3"/>
  <c r="H6" i="3"/>
  <c r="I6" i="3"/>
  <c r="D8" i="3"/>
  <c r="F8" i="3"/>
  <c r="G8" i="3"/>
  <c r="J6" i="3"/>
  <c r="K6" i="3"/>
  <c r="M7" i="3"/>
  <c r="H7" i="3"/>
  <c r="I7" i="3"/>
  <c r="D9" i="3"/>
  <c r="F9" i="3"/>
  <c r="G9" i="3"/>
  <c r="J7" i="3"/>
  <c r="K7" i="3"/>
  <c r="M8" i="3"/>
  <c r="H8" i="3"/>
  <c r="I8" i="3"/>
  <c r="D10" i="3"/>
  <c r="F10" i="3"/>
  <c r="G10" i="3"/>
  <c r="J8" i="3"/>
  <c r="K8" i="3"/>
  <c r="M9" i="3"/>
  <c r="H9" i="3"/>
  <c r="I9" i="3"/>
  <c r="D11" i="3"/>
  <c r="F11" i="3"/>
  <c r="G11" i="3"/>
  <c r="J9" i="3"/>
  <c r="K9" i="3"/>
  <c r="M10" i="3"/>
  <c r="H10" i="3"/>
  <c r="I10" i="3"/>
  <c r="D12" i="3"/>
  <c r="F12" i="3"/>
  <c r="G12" i="3"/>
  <c r="J10" i="3"/>
  <c r="K10" i="3"/>
  <c r="M11" i="3"/>
  <c r="H11" i="3"/>
  <c r="I11" i="3"/>
  <c r="D13" i="3"/>
  <c r="F13" i="3"/>
  <c r="G13" i="3"/>
  <c r="J11" i="3"/>
  <c r="K11" i="3"/>
  <c r="M12" i="3"/>
  <c r="H12" i="3"/>
  <c r="I12" i="3"/>
  <c r="D14" i="3"/>
  <c r="F14" i="3"/>
  <c r="G14" i="3"/>
  <c r="J12" i="3"/>
  <c r="K12" i="3"/>
  <c r="M13" i="3"/>
  <c r="H13" i="3"/>
  <c r="I13" i="3"/>
  <c r="D15" i="3"/>
  <c r="F15" i="3"/>
  <c r="G15" i="3"/>
  <c r="J13" i="3"/>
  <c r="K13" i="3"/>
  <c r="M14" i="3"/>
  <c r="H14" i="3"/>
  <c r="I14" i="3"/>
  <c r="D16" i="3"/>
  <c r="F16" i="3"/>
  <c r="G16" i="3"/>
  <c r="J14" i="3"/>
  <c r="K14" i="3"/>
  <c r="M15" i="3"/>
  <c r="H15" i="3"/>
  <c r="I15" i="3"/>
  <c r="D17" i="3"/>
  <c r="F17" i="3"/>
  <c r="G17" i="3"/>
  <c r="J15" i="3"/>
  <c r="K15" i="3"/>
  <c r="M16" i="3"/>
  <c r="H16" i="3"/>
  <c r="I16" i="3"/>
  <c r="D18" i="3"/>
  <c r="F18" i="3"/>
  <c r="G18" i="3"/>
  <c r="J16" i="3"/>
  <c r="K16" i="3"/>
  <c r="M17" i="3"/>
  <c r="H17" i="3"/>
  <c r="I17" i="3"/>
  <c r="D19" i="3"/>
  <c r="F19" i="3"/>
  <c r="G19" i="3"/>
  <c r="J17" i="3"/>
  <c r="K17" i="3"/>
  <c r="M18" i="3"/>
  <c r="H18" i="3"/>
  <c r="I18" i="3"/>
  <c r="D20" i="3"/>
  <c r="F20" i="3"/>
  <c r="G20" i="3"/>
  <c r="J18" i="3"/>
  <c r="K18" i="3"/>
  <c r="M19" i="3"/>
  <c r="H19" i="3"/>
  <c r="I19" i="3"/>
  <c r="D21" i="3"/>
  <c r="F21" i="3"/>
  <c r="G21" i="3"/>
  <c r="J19" i="3"/>
  <c r="K19" i="3"/>
  <c r="M20" i="3"/>
  <c r="H20" i="3"/>
  <c r="I20" i="3"/>
  <c r="D22" i="3"/>
  <c r="F22" i="3"/>
  <c r="G22" i="3"/>
  <c r="J20" i="3"/>
  <c r="K20" i="3"/>
  <c r="M21" i="3"/>
  <c r="H21" i="3"/>
  <c r="I21" i="3"/>
  <c r="D23" i="3"/>
  <c r="F23" i="3"/>
  <c r="G23" i="3"/>
  <c r="J21" i="3"/>
  <c r="K21" i="3"/>
  <c r="M22" i="3"/>
  <c r="H22" i="3"/>
  <c r="I22" i="3"/>
  <c r="D24" i="3"/>
  <c r="F24" i="3"/>
  <c r="G24" i="3"/>
  <c r="J22" i="3"/>
  <c r="K22" i="3"/>
  <c r="M23" i="3"/>
  <c r="H23" i="3"/>
  <c r="I23" i="3"/>
  <c r="D25" i="3"/>
  <c r="F25" i="3"/>
  <c r="G25" i="3"/>
  <c r="J23" i="3"/>
  <c r="K23" i="3"/>
  <c r="M24" i="3"/>
  <c r="H24" i="3"/>
  <c r="I24" i="3"/>
  <c r="D26" i="3"/>
  <c r="F26" i="3"/>
  <c r="G26" i="3"/>
  <c r="J24" i="3"/>
  <c r="K24" i="3"/>
  <c r="M25" i="3"/>
  <c r="H25" i="3"/>
  <c r="I25" i="3"/>
  <c r="D27" i="3"/>
  <c r="F27" i="3"/>
  <c r="G27" i="3"/>
  <c r="J25" i="3"/>
  <c r="K25" i="3"/>
  <c r="M26" i="3"/>
  <c r="H26" i="3"/>
  <c r="I26" i="3"/>
  <c r="D28" i="3"/>
  <c r="F28" i="3"/>
  <c r="G28" i="3"/>
  <c r="J26" i="3"/>
  <c r="K26" i="3"/>
  <c r="M27" i="3"/>
  <c r="H27" i="3"/>
  <c r="I27" i="3"/>
  <c r="D29" i="3"/>
  <c r="F29" i="3"/>
  <c r="G29" i="3"/>
  <c r="J27" i="3"/>
  <c r="K27" i="3"/>
  <c r="M28" i="3"/>
  <c r="H28" i="3"/>
  <c r="I28" i="3"/>
  <c r="D30" i="3"/>
  <c r="F30" i="3"/>
  <c r="G30" i="3"/>
  <c r="J28" i="3"/>
  <c r="K28" i="3"/>
  <c r="M29" i="3"/>
  <c r="H29" i="3"/>
  <c r="I29" i="3"/>
  <c r="D31" i="3"/>
  <c r="F31" i="3"/>
  <c r="G31" i="3"/>
  <c r="J29" i="3"/>
  <c r="K29" i="3"/>
  <c r="M30" i="3"/>
  <c r="H30" i="3"/>
  <c r="I30" i="3"/>
  <c r="D32" i="3"/>
  <c r="F32" i="3"/>
  <c r="G32" i="3"/>
  <c r="J30" i="3"/>
  <c r="K30" i="3"/>
  <c r="M31" i="3"/>
  <c r="H31" i="3"/>
  <c r="I31" i="3"/>
  <c r="D33" i="3"/>
  <c r="F33" i="3"/>
  <c r="G33" i="3"/>
  <c r="J31" i="3"/>
  <c r="K31" i="3"/>
  <c r="M32" i="3"/>
  <c r="H32" i="3"/>
  <c r="I32" i="3"/>
  <c r="D34" i="3"/>
  <c r="F34" i="3"/>
  <c r="G34" i="3"/>
  <c r="J32" i="3"/>
  <c r="K32" i="3"/>
  <c r="M33" i="3"/>
  <c r="H33" i="3"/>
  <c r="I33" i="3"/>
  <c r="D35" i="3"/>
  <c r="F35" i="3"/>
  <c r="G35" i="3"/>
  <c r="J33" i="3"/>
  <c r="K33" i="3"/>
  <c r="M34" i="3"/>
  <c r="H34" i="3"/>
  <c r="I34" i="3"/>
  <c r="D36" i="3"/>
  <c r="F36" i="3"/>
  <c r="G36" i="3"/>
  <c r="J34" i="3"/>
  <c r="K34" i="3"/>
  <c r="M35" i="3"/>
  <c r="H35" i="3"/>
  <c r="I35" i="3"/>
  <c r="D37" i="3"/>
  <c r="F37" i="3"/>
  <c r="G37" i="3"/>
  <c r="J35" i="3"/>
  <c r="K35" i="3"/>
  <c r="M36" i="3"/>
  <c r="H36" i="3"/>
  <c r="I36" i="3"/>
  <c r="D38" i="3"/>
  <c r="F38" i="3"/>
  <c r="G38" i="3"/>
  <c r="J36" i="3"/>
  <c r="K36" i="3"/>
  <c r="M37" i="3"/>
  <c r="H37" i="3"/>
  <c r="I37" i="3"/>
  <c r="D39" i="3"/>
  <c r="F39" i="3"/>
  <c r="G39" i="3"/>
  <c r="J37" i="3"/>
  <c r="K37" i="3"/>
  <c r="M38" i="3"/>
  <c r="H38" i="3"/>
  <c r="I38" i="3"/>
  <c r="D40" i="3"/>
  <c r="F40" i="3"/>
  <c r="G40" i="3"/>
  <c r="J38" i="3"/>
  <c r="K38" i="3"/>
  <c r="M39" i="3"/>
  <c r="H39" i="3"/>
  <c r="I39" i="3"/>
  <c r="D41" i="3"/>
  <c r="F41" i="3"/>
  <c r="G41" i="3"/>
  <c r="J39" i="3"/>
  <c r="K39" i="3"/>
  <c r="M40" i="3"/>
  <c r="H40" i="3"/>
  <c r="I40" i="3"/>
  <c r="D42" i="3"/>
  <c r="F42" i="3"/>
  <c r="G42" i="3"/>
  <c r="J40" i="3"/>
  <c r="K40" i="3"/>
  <c r="M41" i="3"/>
  <c r="H41" i="3"/>
  <c r="I41" i="3"/>
  <c r="D43" i="3"/>
  <c r="F43" i="3"/>
  <c r="G43" i="3"/>
  <c r="J41" i="3"/>
  <c r="K41" i="3"/>
  <c r="M42" i="3"/>
  <c r="H42" i="3"/>
  <c r="I42" i="3"/>
  <c r="D44" i="3"/>
  <c r="F44" i="3"/>
  <c r="G44" i="3"/>
  <c r="J42" i="3"/>
  <c r="K42" i="3"/>
  <c r="M43" i="3"/>
  <c r="H43" i="3"/>
  <c r="I43" i="3"/>
  <c r="D45" i="3"/>
  <c r="F45" i="3"/>
  <c r="G45" i="3"/>
  <c r="J43" i="3"/>
  <c r="K43" i="3"/>
  <c r="M44" i="3"/>
  <c r="H44" i="3"/>
  <c r="I44" i="3"/>
  <c r="D46" i="3"/>
  <c r="F46" i="3"/>
  <c r="G46" i="3"/>
  <c r="J44" i="3"/>
  <c r="K44" i="3"/>
  <c r="M45" i="3"/>
  <c r="H45" i="3"/>
  <c r="I45" i="3"/>
  <c r="D47" i="3"/>
  <c r="F47" i="3"/>
  <c r="G47" i="3"/>
  <c r="J45" i="3"/>
  <c r="K45" i="3"/>
  <c r="M46" i="3"/>
  <c r="H46" i="3"/>
  <c r="I46" i="3"/>
  <c r="J46" i="3"/>
  <c r="K46" i="3"/>
  <c r="M47" i="3"/>
  <c r="H47" i="3"/>
  <c r="I47" i="3"/>
  <c r="J47" i="3"/>
  <c r="K47" i="3"/>
  <c r="D2" i="3"/>
  <c r="F2" i="3"/>
  <c r="G2" i="3"/>
  <c r="M2" i="3"/>
  <c r="H2" i="3"/>
  <c r="I2" i="3"/>
  <c r="J2" i="3"/>
  <c r="K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3" i="4"/>
  <c r="J4" i="4"/>
  <c r="J5" i="4"/>
  <c r="J6" i="4"/>
  <c r="J7" i="4"/>
  <c r="J8" i="4"/>
  <c r="J9" i="4"/>
  <c r="J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2" i="4"/>
  <c r="D2" i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" i="5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4" i="1"/>
</calcChain>
</file>

<file path=xl/sharedStrings.xml><?xml version="1.0" encoding="utf-8"?>
<sst xmlns="http://schemas.openxmlformats.org/spreadsheetml/2006/main" count="152" uniqueCount="64">
  <si>
    <t>COD-PRODUCTO</t>
  </si>
  <si>
    <t>DESC-PRODUCTO</t>
  </si>
  <si>
    <t>COD-RUBRO</t>
  </si>
  <si>
    <t>DESC-RUBRO</t>
  </si>
  <si>
    <t>jamon</t>
  </si>
  <si>
    <t>leche descremada</t>
  </si>
  <si>
    <t>leche entera</t>
  </si>
  <si>
    <t>leonesa</t>
  </si>
  <si>
    <t>manteca</t>
  </si>
  <si>
    <t>mortadela</t>
  </si>
  <si>
    <t>paleta</t>
  </si>
  <si>
    <t>pan felipe</t>
  </si>
  <si>
    <t>pan flauta</t>
  </si>
  <si>
    <t>pan manteca</t>
  </si>
  <si>
    <t>pan porteño</t>
  </si>
  <si>
    <t>pan sandwich</t>
  </si>
  <si>
    <t>pan tortuga</t>
  </si>
  <si>
    <t>pan viena</t>
  </si>
  <si>
    <t>panchos</t>
  </si>
  <si>
    <t>queso colonia</t>
  </si>
  <si>
    <t>queso dambo</t>
  </si>
  <si>
    <t>queso muzarela</t>
  </si>
  <si>
    <t>queso rallado</t>
  </si>
  <si>
    <t>queso sandwich</t>
  </si>
  <si>
    <t>queso semiduro</t>
  </si>
  <si>
    <t>salame</t>
  </si>
  <si>
    <t>yogurt</t>
  </si>
  <si>
    <t>IVA</t>
  </si>
  <si>
    <t>DESCUENTO</t>
  </si>
  <si>
    <t>fiambres</t>
  </si>
  <si>
    <t>lacteos</t>
  </si>
  <si>
    <t>panaderia</t>
  </si>
  <si>
    <t>COD-MARCA</t>
  </si>
  <si>
    <t>DESC-MARCA</t>
  </si>
  <si>
    <t>CONSTANCIA</t>
  </si>
  <si>
    <t>CATTIVELLI</t>
  </si>
  <si>
    <t>OTTONELO</t>
  </si>
  <si>
    <t>SARUBI</t>
  </si>
  <si>
    <t>RAUSA</t>
  </si>
  <si>
    <t>CENTENARIO</t>
  </si>
  <si>
    <t>KALI</t>
  </si>
  <si>
    <t>SHNECK</t>
  </si>
  <si>
    <t>PARMALAT</t>
  </si>
  <si>
    <t>CONAPROLE</t>
  </si>
  <si>
    <t>CAPROLET</t>
  </si>
  <si>
    <t>CLALDY</t>
  </si>
  <si>
    <t>MILKY</t>
  </si>
  <si>
    <t>LACTERIA</t>
  </si>
  <si>
    <t>SORCHANTES</t>
  </si>
  <si>
    <t>MALLORQUINA</t>
  </si>
  <si>
    <t>FARGO</t>
  </si>
  <si>
    <t>PROPIO</t>
  </si>
  <si>
    <t>UNIDAD</t>
  </si>
  <si>
    <t>COD-ARTICULO</t>
  </si>
  <si>
    <t>IMPORTE</t>
  </si>
  <si>
    <t>IVA Incl.</t>
  </si>
  <si>
    <t>kilo</t>
  </si>
  <si>
    <t>litro</t>
  </si>
  <si>
    <t>unidad</t>
  </si>
  <si>
    <t>FECHA</t>
  </si>
  <si>
    <t>CANTIDAD</t>
  </si>
  <si>
    <t>PRECIO UNIT.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</si>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</sst>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opLeftCell="A7" zoomScale="80" workbookViewId="0" xr3:uid="{AEA406A1-0E4B-5B11-9CD5-51D6E497D94C}">
      <selection activeCell="D24" sqref="D24"/>
    </sheetView>
  </sheetViews>
  <sheetFormatPr defaultRowHeight="12.75"/>
  <cols>
    <col min="1" max="1" width="14.85546875" style="3" customWidth="1"/>
    <col min="2" max="2" width="18.7109375" customWidth="1"/>
    <col min="3" max="3" width="13.5703125" style="3" customWidth="1"/>
    <col min="4" max="4" width="15.42578125" customWidth="1"/>
    <col min="5" max="256" width="11.42578125" customWidth="1"/>
  </cols>
  <sheetData>
    <row r="1" spans="1:4">
      <c r="A1" s="3" t="s">
        <v>0</v>
      </c>
      <c r="B1" t="s">
        <v>1</v>
      </c>
      <c r="C1" s="3" t="s">
        <v>2</v>
      </c>
      <c r="D1" t="s">
        <v>3</v>
      </c>
    </row>
    <row r="2" spans="1:4">
      <c r="A2" s="3">
        <v>4</v>
      </c>
      <c r="B2" t="s">
        <v>4</v>
      </c>
      <c r="C2" s="3">
        <v>1</v>
      </c>
      <c r="D2" t="str">
        <f>VLOOKUP(C2,rubros!$A$2:$D$4,2)</f>
        <v>fiambres</v>
      </c>
    </row>
    <row r="3" spans="1:4">
      <c r="A3" s="3">
        <v>16</v>
      </c>
      <c r="B3" t="s">
        <v>5</v>
      </c>
      <c r="C3" s="3">
        <v>2</v>
      </c>
      <c r="D3" t="str">
        <f>VLOOKUP(C3,rubros!$A$2:$D$4,2)</f>
        <v>lacteos</v>
      </c>
    </row>
    <row r="4" spans="1:4">
      <c r="A4" s="3">
        <v>11</v>
      </c>
      <c r="B4" t="s">
        <v>6</v>
      </c>
      <c r="C4" s="3">
        <v>2</v>
      </c>
      <c r="D4" t="str">
        <f>VLOOKUP(C4,rubros!$A$2:$D$4,2)</f>
        <v>lacteos</v>
      </c>
    </row>
    <row r="5" spans="1:4">
      <c r="A5" s="3">
        <v>5</v>
      </c>
      <c r="B5" t="s">
        <v>7</v>
      </c>
      <c r="C5" s="3">
        <v>1</v>
      </c>
      <c r="D5" t="str">
        <f>VLOOKUP(C5,rubros!$A$2:$D$4,2)</f>
        <v>fiambres</v>
      </c>
    </row>
    <row r="6" spans="1:4">
      <c r="A6" s="3">
        <v>15</v>
      </c>
      <c r="B6" t="s">
        <v>8</v>
      </c>
      <c r="C6" s="3">
        <v>2</v>
      </c>
      <c r="D6" t="str">
        <f>VLOOKUP(C6,rubros!$A$2:$D$4,2)</f>
        <v>lacteos</v>
      </c>
    </row>
    <row r="7" spans="1:4">
      <c r="A7" s="3">
        <v>2</v>
      </c>
      <c r="B7" t="s">
        <v>9</v>
      </c>
      <c r="C7" s="3">
        <v>1</v>
      </c>
      <c r="D7" t="str">
        <f>VLOOKUP(C7,rubros!$A$2:$D$4,2)</f>
        <v>fiambres</v>
      </c>
    </row>
    <row r="8" spans="1:4">
      <c r="A8" s="3">
        <v>3</v>
      </c>
      <c r="B8" t="s">
        <v>10</v>
      </c>
      <c r="C8" s="3">
        <v>1</v>
      </c>
      <c r="D8" t="str">
        <f>VLOOKUP(C8,rubros!$A$2:$D$4,2)</f>
        <v>fiambres</v>
      </c>
    </row>
    <row r="9" spans="1:4">
      <c r="A9" s="3">
        <v>19</v>
      </c>
      <c r="B9" t="s">
        <v>11</v>
      </c>
      <c r="C9" s="3">
        <v>3</v>
      </c>
      <c r="D9" t="str">
        <f>VLOOKUP(C9,rubros!$A$2:$D$4,2)</f>
        <v>panaderia</v>
      </c>
    </row>
    <row r="10" spans="1:4">
      <c r="A10" s="3">
        <v>22</v>
      </c>
      <c r="B10" t="s">
        <v>12</v>
      </c>
      <c r="C10" s="3">
        <v>3</v>
      </c>
      <c r="D10" t="str">
        <f>VLOOKUP(C10,rubros!$A$2:$D$4,2)</f>
        <v>panaderia</v>
      </c>
    </row>
    <row r="11" spans="1:4">
      <c r="A11" s="3">
        <v>20</v>
      </c>
      <c r="B11" t="s">
        <v>13</v>
      </c>
      <c r="C11" s="3">
        <v>3</v>
      </c>
      <c r="D11" t="str">
        <f>VLOOKUP(C11,rubros!$A$2:$D$4,2)</f>
        <v>panaderia</v>
      </c>
    </row>
    <row r="12" spans="1:4">
      <c r="A12" s="3">
        <v>23</v>
      </c>
      <c r="B12" t="s">
        <v>14</v>
      </c>
      <c r="C12" s="3">
        <v>3</v>
      </c>
      <c r="D12" t="str">
        <f>VLOOKUP(C12,rubros!$A$2:$D$4,2)</f>
        <v>panaderia</v>
      </c>
    </row>
    <row r="13" spans="1:4">
      <c r="A13" s="3">
        <v>18</v>
      </c>
      <c r="B13" t="s">
        <v>15</v>
      </c>
      <c r="C13" s="3">
        <v>3</v>
      </c>
      <c r="D13" t="str">
        <f>VLOOKUP(C13,rubros!$A$2:$D$4,2)</f>
        <v>panaderia</v>
      </c>
    </row>
    <row r="14" spans="1:4">
      <c r="A14" s="3">
        <v>21</v>
      </c>
      <c r="B14" t="s">
        <v>16</v>
      </c>
      <c r="C14" s="3">
        <v>3</v>
      </c>
      <c r="D14" t="str">
        <f>VLOOKUP(C14,rubros!$A$2:$D$4,2)</f>
        <v>panaderia</v>
      </c>
    </row>
    <row r="15" spans="1:4">
      <c r="A15" s="3">
        <v>17</v>
      </c>
      <c r="B15" t="s">
        <v>17</v>
      </c>
      <c r="C15" s="3">
        <v>3</v>
      </c>
      <c r="D15" t="str">
        <f>VLOOKUP(C15,rubros!$A$2:$D$4,2)</f>
        <v>panaderia</v>
      </c>
    </row>
    <row r="16" spans="1:4">
      <c r="A16" s="3">
        <v>6</v>
      </c>
      <c r="B16" t="s">
        <v>18</v>
      </c>
      <c r="C16" s="3">
        <v>1</v>
      </c>
      <c r="D16" t="str">
        <f>VLOOKUP(C16,rubros!$A$2:$D$4,2)</f>
        <v>fiambres</v>
      </c>
    </row>
    <row r="17" spans="1:4">
      <c r="A17" s="3">
        <v>13</v>
      </c>
      <c r="B17" t="s">
        <v>19</v>
      </c>
      <c r="C17" s="3">
        <v>2</v>
      </c>
      <c r="D17" t="str">
        <f>VLOOKUP(C17,rubros!$A$2:$D$4,2)</f>
        <v>lacteos</v>
      </c>
    </row>
    <row r="18" spans="1:4">
      <c r="A18" s="3">
        <v>9</v>
      </c>
      <c r="B18" t="s">
        <v>20</v>
      </c>
      <c r="C18" s="3">
        <v>2</v>
      </c>
      <c r="D18" t="str">
        <f>VLOOKUP(C18,rubros!$A$2:$D$4,2)</f>
        <v>lacteos</v>
      </c>
    </row>
    <row r="19" spans="1:4">
      <c r="A19" s="3">
        <v>7</v>
      </c>
      <c r="B19" t="s">
        <v>21</v>
      </c>
      <c r="C19" s="3">
        <v>2</v>
      </c>
      <c r="D19" t="str">
        <f>VLOOKUP(C19,rubros!$A$2:$D$4,2)</f>
        <v>lacteos</v>
      </c>
    </row>
    <row r="20" spans="1:4">
      <c r="A20" s="3">
        <v>10</v>
      </c>
      <c r="B20" t="s">
        <v>22</v>
      </c>
      <c r="C20" s="3">
        <v>2</v>
      </c>
      <c r="D20" t="str">
        <f>VLOOKUP(C20,rubros!$A$2:$D$4,2)</f>
        <v>lacteos</v>
      </c>
    </row>
    <row r="21" spans="1:4">
      <c r="A21" s="3">
        <v>8</v>
      </c>
      <c r="B21" t="s">
        <v>23</v>
      </c>
      <c r="C21" s="3">
        <v>2</v>
      </c>
      <c r="D21" t="str">
        <f>VLOOKUP(C21,rubros!$A$2:$D$4,2)</f>
        <v>lacteos</v>
      </c>
    </row>
    <row r="22" spans="1:4">
      <c r="A22" s="3">
        <v>14</v>
      </c>
      <c r="B22" t="s">
        <v>24</v>
      </c>
      <c r="C22" s="3">
        <v>2</v>
      </c>
      <c r="D22" t="str">
        <f>VLOOKUP(C22,rubros!$A$2:$D$4,2)</f>
        <v>lacteos</v>
      </c>
    </row>
    <row r="23" spans="1:4">
      <c r="A23" s="3">
        <v>1</v>
      </c>
      <c r="B23" t="s">
        <v>25</v>
      </c>
      <c r="C23" s="3">
        <v>1</v>
      </c>
      <c r="D23" t="str">
        <f>VLOOKUP(C23,rubros!$A$2:$D$4,2)</f>
        <v>fiambres</v>
      </c>
    </row>
    <row r="24" spans="1:4">
      <c r="A24" s="3">
        <v>12</v>
      </c>
      <c r="B24" t="s">
        <v>26</v>
      </c>
      <c r="C24" s="3">
        <v>2</v>
      </c>
      <c r="D24" t="str">
        <f>VLOOKUP(C24,rubros!$A$2:$D$4,2)</f>
        <v>lacteos</v>
      </c>
    </row>
  </sheetData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0" workbookViewId="0" xr3:uid="{958C4451-9541-5A59-BF78-D2F731DF1C81}">
      <selection activeCell="A2" sqref="A2"/>
    </sheetView>
  </sheetViews>
  <sheetFormatPr defaultRowHeight="12.75"/>
  <cols>
    <col min="1" max="1" width="13" style="3" customWidth="1"/>
    <col min="2" max="2" width="15.28515625" customWidth="1"/>
    <col min="3" max="3" width="11.42578125" customWidth="1"/>
    <col min="4" max="4" width="13.28515625" customWidth="1"/>
    <col min="5" max="256" width="11.42578125" customWidth="1"/>
  </cols>
  <sheetData>
    <row r="1" spans="1:4">
      <c r="A1" s="3" t="s">
        <v>2</v>
      </c>
      <c r="B1" t="s">
        <v>3</v>
      </c>
      <c r="C1" t="s">
        <v>27</v>
      </c>
      <c r="D1" t="s">
        <v>28</v>
      </c>
    </row>
    <row r="2" spans="1:4">
      <c r="A2" s="3">
        <v>1</v>
      </c>
      <c r="B2" t="s">
        <v>29</v>
      </c>
      <c r="C2" s="1">
        <v>0.23</v>
      </c>
      <c r="D2" s="1">
        <v>0.1</v>
      </c>
    </row>
    <row r="3" spans="1:4">
      <c r="A3" s="3">
        <v>2</v>
      </c>
      <c r="B3" t="s">
        <v>30</v>
      </c>
      <c r="C3" s="1">
        <v>0.14000000000000001</v>
      </c>
      <c r="D3" s="1">
        <v>0.05</v>
      </c>
    </row>
    <row r="4" spans="1:4">
      <c r="A4" s="3">
        <v>3</v>
      </c>
      <c r="B4" t="s">
        <v>31</v>
      </c>
      <c r="C4" s="1">
        <v>0</v>
      </c>
      <c r="D4" s="1">
        <v>0.15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="80" workbookViewId="0" xr3:uid="{842E5F09-E766-5B8D-85AF-A39847EA96FD}">
      <selection activeCell="E14" sqref="E14"/>
    </sheetView>
  </sheetViews>
  <sheetFormatPr defaultRowHeight="12.75"/>
  <cols>
    <col min="1" max="1" width="13.42578125" style="3" customWidth="1"/>
    <col min="2" max="2" width="15.140625" customWidth="1"/>
    <col min="3" max="3" width="12.7109375" style="3" customWidth="1"/>
    <col min="4" max="4" width="14.85546875" customWidth="1"/>
    <col min="5" max="256" width="11.42578125" customWidth="1"/>
  </cols>
  <sheetData>
    <row r="1" spans="1:4">
      <c r="A1" s="3" t="s">
        <v>32</v>
      </c>
      <c r="B1" t="s">
        <v>33</v>
      </c>
      <c r="C1" s="3" t="s">
        <v>2</v>
      </c>
      <c r="D1" t="s">
        <v>3</v>
      </c>
    </row>
    <row r="2" spans="1:4">
      <c r="A2" s="3">
        <v>1</v>
      </c>
      <c r="B2" t="s">
        <v>34</v>
      </c>
      <c r="C2" s="3">
        <v>1</v>
      </c>
      <c r="D2" t="str">
        <f>VLOOKUP(C2,rubros!$A$2:$D$4,2)</f>
        <v>fiambres</v>
      </c>
    </row>
    <row r="3" spans="1:4">
      <c r="A3" s="3">
        <v>2</v>
      </c>
      <c r="B3" t="s">
        <v>35</v>
      </c>
      <c r="C3" s="3">
        <v>1</v>
      </c>
      <c r="D3" t="str">
        <f>VLOOKUP(C3,rubros!$A$2:$D$4,2)</f>
        <v>fiambres</v>
      </c>
    </row>
    <row r="4" spans="1:4">
      <c r="A4" s="3">
        <v>3</v>
      </c>
      <c r="B4" t="s">
        <v>36</v>
      </c>
      <c r="C4" s="3">
        <v>1</v>
      </c>
      <c r="D4" t="str">
        <f>VLOOKUP(C4,rubros!$A$2:$D$4,2)</f>
        <v>fiambres</v>
      </c>
    </row>
    <row r="5" spans="1:4">
      <c r="A5" s="3">
        <v>4</v>
      </c>
      <c r="B5" t="s">
        <v>37</v>
      </c>
      <c r="C5" s="3">
        <v>1</v>
      </c>
      <c r="D5" t="str">
        <f>VLOOKUP(C5,rubros!$A$2:$D$4,2)</f>
        <v>fiambres</v>
      </c>
    </row>
    <row r="6" spans="1:4">
      <c r="A6" s="3">
        <v>5</v>
      </c>
      <c r="B6" t="s">
        <v>38</v>
      </c>
      <c r="C6" s="3">
        <v>1</v>
      </c>
      <c r="D6" t="str">
        <f>VLOOKUP(C6,rubros!$A$2:$D$4,2)</f>
        <v>fiambres</v>
      </c>
    </row>
    <row r="7" spans="1:4">
      <c r="A7" s="3">
        <v>6</v>
      </c>
      <c r="B7" t="s">
        <v>39</v>
      </c>
      <c r="C7" s="3">
        <v>1</v>
      </c>
      <c r="D7" t="str">
        <f>VLOOKUP(C7,rubros!$A$2:$D$4,2)</f>
        <v>fiambres</v>
      </c>
    </row>
    <row r="8" spans="1:4">
      <c r="A8" s="3">
        <v>7</v>
      </c>
      <c r="B8" t="s">
        <v>40</v>
      </c>
      <c r="C8" s="3">
        <v>1</v>
      </c>
      <c r="D8" t="str">
        <f>VLOOKUP(C8,rubros!$A$2:$D$4,2)</f>
        <v>fiambres</v>
      </c>
    </row>
    <row r="9" spans="1:4">
      <c r="A9" s="3">
        <v>8</v>
      </c>
      <c r="B9" t="s">
        <v>41</v>
      </c>
      <c r="C9" s="3">
        <v>1</v>
      </c>
      <c r="D9" t="str">
        <f>VLOOKUP(C9,rubros!$A$2:$D$4,2)</f>
        <v>fiambres</v>
      </c>
    </row>
    <row r="10" spans="1:4">
      <c r="A10" s="3">
        <v>9</v>
      </c>
      <c r="B10" t="s">
        <v>42</v>
      </c>
      <c r="C10" s="3">
        <v>2</v>
      </c>
      <c r="D10" t="str">
        <f>VLOOKUP(C10,rubros!$A$2:$D$4,2)</f>
        <v>lacteos</v>
      </c>
    </row>
    <row r="11" spans="1:4">
      <c r="A11" s="3">
        <v>10</v>
      </c>
      <c r="B11" t="s">
        <v>43</v>
      </c>
      <c r="C11" s="3">
        <v>2</v>
      </c>
      <c r="D11" t="str">
        <f>VLOOKUP(C11,rubros!$A$2:$D$4,2)</f>
        <v>lacteos</v>
      </c>
    </row>
    <row r="12" spans="1:4">
      <c r="A12" s="3">
        <v>11</v>
      </c>
      <c r="B12" t="s">
        <v>44</v>
      </c>
      <c r="C12" s="3">
        <v>2</v>
      </c>
      <c r="D12" t="str">
        <f>VLOOKUP(C12,rubros!$A$2:$D$4,2)</f>
        <v>lacteos</v>
      </c>
    </row>
    <row r="13" spans="1:4">
      <c r="A13" s="3">
        <v>12</v>
      </c>
      <c r="B13" t="s">
        <v>45</v>
      </c>
      <c r="C13" s="3">
        <v>2</v>
      </c>
      <c r="D13" t="str">
        <f>VLOOKUP(C13,rubros!$A$2:$D$4,2)</f>
        <v>lacteos</v>
      </c>
    </row>
    <row r="14" spans="1:4">
      <c r="A14" s="3">
        <v>13</v>
      </c>
      <c r="B14" t="s">
        <v>46</v>
      </c>
      <c r="C14" s="3">
        <v>2</v>
      </c>
      <c r="D14" t="str">
        <f>VLOOKUP(C14,rubros!$A$2:$D$4,2)</f>
        <v>lacteos</v>
      </c>
    </row>
    <row r="15" spans="1:4">
      <c r="A15" s="3">
        <v>14</v>
      </c>
      <c r="B15" t="s">
        <v>47</v>
      </c>
      <c r="C15" s="3">
        <v>2</v>
      </c>
      <c r="D15" t="str">
        <f>VLOOKUP(C15,rubros!$A$2:$D$4,2)</f>
        <v>lacteos</v>
      </c>
    </row>
    <row r="16" spans="1:4">
      <c r="A16" s="3">
        <v>15</v>
      </c>
      <c r="B16" t="s">
        <v>48</v>
      </c>
      <c r="C16" s="3">
        <v>3</v>
      </c>
      <c r="D16" t="str">
        <f>VLOOKUP(C16,rubros!$A$2:$D$4,2)</f>
        <v>panaderia</v>
      </c>
    </row>
    <row r="17" spans="1:4">
      <c r="A17" s="3">
        <v>16</v>
      </c>
      <c r="B17" t="s">
        <v>49</v>
      </c>
      <c r="C17" s="3">
        <v>3</v>
      </c>
      <c r="D17" t="str">
        <f>VLOOKUP(C17,rubros!$A$2:$D$4,2)</f>
        <v>panaderia</v>
      </c>
    </row>
    <row r="18" spans="1:4">
      <c r="A18" s="3">
        <v>17</v>
      </c>
      <c r="B18" t="s">
        <v>50</v>
      </c>
      <c r="C18" s="3">
        <v>3</v>
      </c>
      <c r="D18" t="str">
        <f>VLOOKUP(C18,rubros!$A$2:$D$4,2)</f>
        <v>panaderia</v>
      </c>
    </row>
    <row r="19" spans="1:4">
      <c r="A19" s="3">
        <v>18</v>
      </c>
      <c r="B19" t="s">
        <v>51</v>
      </c>
      <c r="C19" s="3">
        <v>3</v>
      </c>
      <c r="D19" t="str">
        <f>VLOOKUP(C19,rubros!$A$2:$D$4,2)</f>
        <v>panaderia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zoomScale="80" workbookViewId="0" xr3:uid="{51F8DEE0-4D01-5F28-A812-FC0BD7CAC4A5}">
      <selection activeCell="I13" sqref="I13"/>
    </sheetView>
  </sheetViews>
  <sheetFormatPr defaultRowHeight="12.75"/>
  <cols>
    <col min="1" max="1" width="15.5703125" style="3" customWidth="1"/>
    <col min="2" max="2" width="18.28515625" customWidth="1"/>
    <col min="3" max="3" width="15.5703125" style="3" customWidth="1"/>
    <col min="4" max="4" width="14.85546875" style="3" customWidth="1"/>
    <col min="5" max="5" width="9.42578125" customWidth="1"/>
    <col min="6" max="7" width="14.85546875" style="3" customWidth="1"/>
    <col min="8" max="8" width="16" style="3" customWidth="1"/>
    <col min="9" max="256" width="11.42578125" customWidth="1"/>
  </cols>
  <sheetData>
    <row r="1" spans="1:10">
      <c r="A1" s="3" t="s">
        <v>0</v>
      </c>
      <c r="B1" t="s">
        <v>1</v>
      </c>
      <c r="C1" s="3" t="s">
        <v>2</v>
      </c>
      <c r="D1" t="s">
        <v>3</v>
      </c>
      <c r="E1" t="s">
        <v>52</v>
      </c>
      <c r="F1" s="3" t="s">
        <v>32</v>
      </c>
      <c r="G1" t="s">
        <v>33</v>
      </c>
      <c r="H1" s="3" t="s">
        <v>53</v>
      </c>
      <c r="I1" t="s">
        <v>54</v>
      </c>
      <c r="J1" t="s">
        <v>55</v>
      </c>
    </row>
    <row r="2" spans="1:10">
      <c r="A2" s="3">
        <v>1</v>
      </c>
      <c r="B2" t="str">
        <f>INDEX(productos!$A$2:$D$24,MATCH(A2,productos!$A$2:$A$24,0),2)</f>
        <v>salame</v>
      </c>
      <c r="C2" s="3">
        <v>1</v>
      </c>
      <c r="D2" t="str">
        <f>VLOOKUP(C2,rubros!$A$2:$D$4,2)</f>
        <v>fiambres</v>
      </c>
      <c r="E2" t="s">
        <v>56</v>
      </c>
      <c r="F2" s="3">
        <v>4</v>
      </c>
      <c r="G2" t="str">
        <f>VLOOKUP(F2,marcas!$A$2:$D$19,2)</f>
        <v>SARUBI</v>
      </c>
      <c r="H2" s="3" t="str">
        <f>CONCATENATE(A2,"p",F2,"m")</f>
        <v>1p4m</v>
      </c>
      <c r="I2">
        <v>140</v>
      </c>
      <c r="J2">
        <f>I2+I2*VLOOKUP(C2,rubros!$A$2:$D$4,3)</f>
        <v>172.2</v>
      </c>
    </row>
    <row r="3" spans="1:10">
      <c r="A3" s="3">
        <v>1</v>
      </c>
      <c r="B3" t="str">
        <f>INDEX(productos!$A$2:$D$24,MATCH(A3,productos!$A$2:$A$24,0),2)</f>
        <v>salame</v>
      </c>
      <c r="C3" s="3">
        <v>1</v>
      </c>
      <c r="D3" t="str">
        <f>VLOOKUP(C3,rubros!$A$2:$D$4,2)</f>
        <v>fiambres</v>
      </c>
      <c r="E3" t="s">
        <v>56</v>
      </c>
      <c r="F3" s="3">
        <v>2</v>
      </c>
      <c r="G3" t="str">
        <f>VLOOKUP(F3,marcas!$A$2:$D$19,2)</f>
        <v>CATTIVELLI</v>
      </c>
      <c r="H3" s="3" t="str">
        <f t="shared" ref="H3:H66" si="0">CONCATENATE(A3,"p",F3,"m")</f>
        <v>1p2m</v>
      </c>
      <c r="I3">
        <v>145</v>
      </c>
      <c r="J3">
        <f>I3+I3*VLOOKUP(C3,rubros!$A$2:$D$4,3)</f>
        <v>178.35</v>
      </c>
    </row>
    <row r="4" spans="1:10">
      <c r="A4" s="3">
        <v>1</v>
      </c>
      <c r="B4" t="str">
        <f>INDEX(productos!$A$2:$D$24,MATCH(A4,productos!$A$2:$A$24,0),2)</f>
        <v>salame</v>
      </c>
      <c r="C4" s="3">
        <v>1</v>
      </c>
      <c r="D4" t="str">
        <f>VLOOKUP(C4,rubros!$A$2:$D$4,2)</f>
        <v>fiambres</v>
      </c>
      <c r="E4" t="s">
        <v>56</v>
      </c>
      <c r="F4" s="3">
        <v>3</v>
      </c>
      <c r="G4" t="str">
        <f>VLOOKUP(F4,marcas!$A$2:$D$19,2)</f>
        <v>OTTONELO</v>
      </c>
      <c r="H4" s="3" t="str">
        <f t="shared" si="0"/>
        <v>1p3m</v>
      </c>
      <c r="I4">
        <v>139</v>
      </c>
      <c r="J4">
        <f>I4+I4*VLOOKUP(C4,rubros!$A$2:$D$4,3)</f>
        <v>170.97</v>
      </c>
    </row>
    <row r="5" spans="1:10">
      <c r="A5" s="3">
        <v>2</v>
      </c>
      <c r="B5" t="str">
        <f>INDEX(productos!$A$2:$D$24,MATCH(A5,productos!$A$2:$A$24,0),2)</f>
        <v>mortadela</v>
      </c>
      <c r="C5" s="3">
        <v>1</v>
      </c>
      <c r="D5" t="str">
        <f>VLOOKUP(C5,rubros!$A$2:$D$4,2)</f>
        <v>fiambres</v>
      </c>
      <c r="E5" t="s">
        <v>56</v>
      </c>
      <c r="F5" s="3">
        <v>2</v>
      </c>
      <c r="G5" t="str">
        <f>VLOOKUP(F5,marcas!$A$2:$D$19,2)</f>
        <v>CATTIVELLI</v>
      </c>
      <c r="H5" s="3" t="str">
        <f t="shared" si="0"/>
        <v>2p2m</v>
      </c>
      <c r="I5">
        <v>88</v>
      </c>
      <c r="J5">
        <f>I5+I5*VLOOKUP(C5,rubros!$A$2:$D$4,3)</f>
        <v>108.24000000000001</v>
      </c>
    </row>
    <row r="6" spans="1:10">
      <c r="A6" s="3">
        <v>2</v>
      </c>
      <c r="B6" t="str">
        <f>INDEX(productos!$A$2:$D$24,MATCH(A6,productos!$A$2:$A$24,0),2)</f>
        <v>mortadela</v>
      </c>
      <c r="C6" s="3">
        <v>1</v>
      </c>
      <c r="D6" t="str">
        <f>VLOOKUP(C6,rubros!$A$2:$D$4,2)</f>
        <v>fiambres</v>
      </c>
      <c r="E6" t="s">
        <v>56</v>
      </c>
      <c r="F6" s="3">
        <v>3</v>
      </c>
      <c r="G6" t="str">
        <f>VLOOKUP(F6,marcas!$A$2:$D$19,2)</f>
        <v>OTTONELO</v>
      </c>
      <c r="H6" s="3" t="str">
        <f t="shared" si="0"/>
        <v>2p3m</v>
      </c>
      <c r="I6">
        <v>90</v>
      </c>
      <c r="J6">
        <f>I6+I6*VLOOKUP(C6,rubros!$A$2:$D$4,3)</f>
        <v>110.7</v>
      </c>
    </row>
    <row r="7" spans="1:10">
      <c r="A7" s="3">
        <v>2</v>
      </c>
      <c r="B7" t="str">
        <f>INDEX(productos!$A$2:$D$24,MATCH(A7,productos!$A$2:$A$24,0),2)</f>
        <v>mortadela</v>
      </c>
      <c r="C7" s="3">
        <v>1</v>
      </c>
      <c r="D7" t="str">
        <f>VLOOKUP(C7,rubros!$A$2:$D$4,2)</f>
        <v>fiambres</v>
      </c>
      <c r="E7" t="s">
        <v>56</v>
      </c>
      <c r="F7" s="3">
        <v>6</v>
      </c>
      <c r="G7" t="str">
        <f>VLOOKUP(F7,marcas!$A$2:$D$19,2)</f>
        <v>CENTENARIO</v>
      </c>
      <c r="H7" s="3" t="str">
        <f t="shared" si="0"/>
        <v>2p6m</v>
      </c>
      <c r="I7">
        <v>110</v>
      </c>
      <c r="J7">
        <f>I7+I7*VLOOKUP(C7,rubros!$A$2:$D$4,3)</f>
        <v>135.30000000000001</v>
      </c>
    </row>
    <row r="8" spans="1:10">
      <c r="A8" s="3">
        <v>2</v>
      </c>
      <c r="B8" t="str">
        <f>INDEX(productos!$A$2:$D$24,MATCH(A8,productos!$A$2:$A$24,0),2)</f>
        <v>mortadela</v>
      </c>
      <c r="C8" s="3">
        <v>1</v>
      </c>
      <c r="D8" t="str">
        <f>VLOOKUP(C8,rubros!$A$2:$D$4,2)</f>
        <v>fiambres</v>
      </c>
      <c r="E8" t="s">
        <v>56</v>
      </c>
      <c r="F8" s="3">
        <v>5</v>
      </c>
      <c r="G8" t="str">
        <f>VLOOKUP(F8,marcas!$A$2:$D$19,2)</f>
        <v>RAUSA</v>
      </c>
      <c r="H8" s="3" t="str">
        <f t="shared" si="0"/>
        <v>2p5m</v>
      </c>
      <c r="I8">
        <v>90</v>
      </c>
      <c r="J8">
        <f>I8+I8*VLOOKUP(C8,rubros!$A$2:$D$4,3)</f>
        <v>110.7</v>
      </c>
    </row>
    <row r="9" spans="1:10">
      <c r="A9" s="3">
        <v>2</v>
      </c>
      <c r="B9" t="str">
        <f>INDEX(productos!$A$2:$D$24,MATCH(A9,productos!$A$2:$A$24,0),2)</f>
        <v>mortadela</v>
      </c>
      <c r="C9" s="3">
        <v>1</v>
      </c>
      <c r="D9" t="str">
        <f>VLOOKUP(C9,rubros!$A$2:$D$4,2)</f>
        <v>fiambres</v>
      </c>
      <c r="E9" t="s">
        <v>56</v>
      </c>
      <c r="F9" s="3">
        <v>8</v>
      </c>
      <c r="G9" t="str">
        <f>VLOOKUP(F9,marcas!$A$2:$D$19,2)</f>
        <v>SHNECK</v>
      </c>
      <c r="H9" s="3" t="str">
        <f t="shared" si="0"/>
        <v>2p8m</v>
      </c>
      <c r="I9">
        <v>92</v>
      </c>
      <c r="J9">
        <f>I9+I9*VLOOKUP(C9,rubros!$A$2:$D$4,3)</f>
        <v>113.16</v>
      </c>
    </row>
    <row r="10" spans="1:10">
      <c r="A10" s="3">
        <v>3</v>
      </c>
      <c r="B10" t="str">
        <f>INDEX(productos!$A$2:$D$24,MATCH(A10,productos!$A$2:$A$24,0),2)</f>
        <v>paleta</v>
      </c>
      <c r="C10" s="3">
        <v>1</v>
      </c>
      <c r="D10" t="str">
        <f>VLOOKUP(C10,rubros!$A$2:$D$4,2)</f>
        <v>fiambres</v>
      </c>
      <c r="E10" t="s">
        <v>56</v>
      </c>
      <c r="F10" s="3">
        <v>7</v>
      </c>
      <c r="G10" t="str">
        <f>VLOOKUP(F10,marcas!$A$2:$D$19,2)</f>
        <v>KALI</v>
      </c>
      <c r="H10" s="3" t="str">
        <f t="shared" si="0"/>
        <v>3p7m</v>
      </c>
      <c r="I10">
        <v>78</v>
      </c>
      <c r="J10">
        <f>I10+I10*VLOOKUP(C10,rubros!$A$2:$D$4,3)</f>
        <v>95.94</v>
      </c>
    </row>
    <row r="11" spans="1:10">
      <c r="A11" s="3">
        <v>3</v>
      </c>
      <c r="B11" t="str">
        <f>INDEX(productos!$A$2:$D$24,MATCH(A11,productos!$A$2:$A$24,0),2)</f>
        <v>paleta</v>
      </c>
      <c r="C11" s="3">
        <v>1</v>
      </c>
      <c r="D11" t="str">
        <f>VLOOKUP(C11,rubros!$A$2:$D$4,2)</f>
        <v>fiambres</v>
      </c>
      <c r="E11" t="s">
        <v>56</v>
      </c>
      <c r="F11" s="3">
        <v>8</v>
      </c>
      <c r="G11" t="str">
        <f>VLOOKUP(F11,marcas!$A$2:$D$19,2)</f>
        <v>SHNECK</v>
      </c>
      <c r="H11" s="3" t="str">
        <f t="shared" si="0"/>
        <v>3p8m</v>
      </c>
      <c r="I11">
        <v>117</v>
      </c>
      <c r="J11">
        <f>I11+I11*VLOOKUP(C11,rubros!$A$2:$D$4,3)</f>
        <v>143.91</v>
      </c>
    </row>
    <row r="12" spans="1:10">
      <c r="A12" s="3">
        <v>3</v>
      </c>
      <c r="B12" t="str">
        <f>INDEX(productos!$A$2:$D$24,MATCH(A12,productos!$A$2:$A$24,0),2)</f>
        <v>paleta</v>
      </c>
      <c r="C12" s="3">
        <v>1</v>
      </c>
      <c r="D12" t="str">
        <f>VLOOKUP(C12,rubros!$A$2:$D$4,2)</f>
        <v>fiambres</v>
      </c>
      <c r="E12" t="s">
        <v>56</v>
      </c>
      <c r="F12" s="3">
        <v>4</v>
      </c>
      <c r="G12" t="str">
        <f>VLOOKUP(F12,marcas!$A$2:$D$19,2)</f>
        <v>SARUBI</v>
      </c>
      <c r="H12" s="3" t="str">
        <f t="shared" si="0"/>
        <v>3p4m</v>
      </c>
      <c r="I12">
        <v>104</v>
      </c>
      <c r="J12">
        <f>I12+I12*VLOOKUP(C12,rubros!$A$2:$D$4,3)</f>
        <v>127.92</v>
      </c>
    </row>
    <row r="13" spans="1:10">
      <c r="A13" s="3">
        <v>4</v>
      </c>
      <c r="B13" t="str">
        <f>INDEX(productos!$A$2:$D$24,MATCH(A13,productos!$A$2:$A$24,0),2)</f>
        <v>jamon</v>
      </c>
      <c r="C13" s="3">
        <v>1</v>
      </c>
      <c r="D13" t="str">
        <f>VLOOKUP(C13,rubros!$A$2:$D$4,2)</f>
        <v>fiambres</v>
      </c>
      <c r="E13" t="s">
        <v>56</v>
      </c>
      <c r="F13" s="3">
        <v>2</v>
      </c>
      <c r="G13" t="str">
        <f>VLOOKUP(F13,marcas!$A$2:$D$19,2)</f>
        <v>CATTIVELLI</v>
      </c>
      <c r="H13" s="3" t="str">
        <f t="shared" si="0"/>
        <v>4p2m</v>
      </c>
      <c r="I13">
        <v>165</v>
      </c>
      <c r="J13">
        <f>I13+I13*VLOOKUP(C13,rubros!$A$2:$D$4,3)</f>
        <v>202.95</v>
      </c>
    </row>
    <row r="14" spans="1:10">
      <c r="A14" s="3">
        <v>4</v>
      </c>
      <c r="B14" t="str">
        <f>INDEX(productos!$A$2:$D$24,MATCH(A14,productos!$A$2:$A$24,0),2)</f>
        <v>jamon</v>
      </c>
      <c r="C14" s="3">
        <v>1</v>
      </c>
      <c r="D14" t="str">
        <f>VLOOKUP(C14,rubros!$A$2:$D$4,2)</f>
        <v>fiambres</v>
      </c>
      <c r="E14" t="s">
        <v>56</v>
      </c>
      <c r="F14" s="3">
        <v>3</v>
      </c>
      <c r="G14" t="str">
        <f>VLOOKUP(F14,marcas!$A$2:$D$19,2)</f>
        <v>OTTONELO</v>
      </c>
      <c r="H14" s="3" t="str">
        <f t="shared" si="0"/>
        <v>4p3m</v>
      </c>
      <c r="I14">
        <v>162</v>
      </c>
      <c r="J14">
        <f>I14+I14*VLOOKUP(C14,rubros!$A$2:$D$4,3)</f>
        <v>199.26</v>
      </c>
    </row>
    <row r="15" spans="1:10">
      <c r="A15" s="3">
        <v>4</v>
      </c>
      <c r="B15" t="str">
        <f>INDEX(productos!$A$2:$D$24,MATCH(A15,productos!$A$2:$A$24,0),2)</f>
        <v>jamon</v>
      </c>
      <c r="C15" s="3">
        <v>1</v>
      </c>
      <c r="D15" t="str">
        <f>VLOOKUP(C15,rubros!$A$2:$D$4,2)</f>
        <v>fiambres</v>
      </c>
      <c r="E15" t="s">
        <v>56</v>
      </c>
      <c r="F15" s="3">
        <v>6</v>
      </c>
      <c r="G15" t="str">
        <f>VLOOKUP(F15,marcas!$A$2:$D$19,2)</f>
        <v>CENTENARIO</v>
      </c>
      <c r="H15" s="3" t="str">
        <f t="shared" si="0"/>
        <v>4p6m</v>
      </c>
      <c r="I15">
        <v>143</v>
      </c>
      <c r="J15">
        <f>I15+I15*VLOOKUP(C15,rubros!$A$2:$D$4,3)</f>
        <v>175.89</v>
      </c>
    </row>
    <row r="16" spans="1:10">
      <c r="A16" s="3">
        <v>4</v>
      </c>
      <c r="B16" t="str">
        <f>INDEX(productos!$A$2:$D$24,MATCH(A16,productos!$A$2:$A$24,0),2)</f>
        <v>jamon</v>
      </c>
      <c r="C16" s="3">
        <v>1</v>
      </c>
      <c r="D16" t="str">
        <f>VLOOKUP(C16,rubros!$A$2:$D$4,2)</f>
        <v>fiambres</v>
      </c>
      <c r="E16" t="s">
        <v>56</v>
      </c>
      <c r="F16" s="3">
        <v>8</v>
      </c>
      <c r="G16" t="str">
        <f>VLOOKUP(F16,marcas!$A$2:$D$19,2)</f>
        <v>SHNECK</v>
      </c>
      <c r="H16" s="3" t="str">
        <f t="shared" si="0"/>
        <v>4p8m</v>
      </c>
      <c r="I16">
        <v>121</v>
      </c>
      <c r="J16">
        <f>I16+I16*VLOOKUP(C16,rubros!$A$2:$D$4,3)</f>
        <v>148.83000000000001</v>
      </c>
    </row>
    <row r="17" spans="1:10">
      <c r="A17" s="3">
        <v>4</v>
      </c>
      <c r="B17" t="str">
        <f>INDEX(productos!$A$2:$D$24,MATCH(A17,productos!$A$2:$A$24,0),2)</f>
        <v>jamon</v>
      </c>
      <c r="C17" s="3">
        <v>1</v>
      </c>
      <c r="D17" t="str">
        <f>VLOOKUP(C17,rubros!$A$2:$D$4,2)</f>
        <v>fiambres</v>
      </c>
      <c r="E17" t="s">
        <v>56</v>
      </c>
      <c r="F17" s="3">
        <v>5</v>
      </c>
      <c r="G17" t="str">
        <f>VLOOKUP(F17,marcas!$A$2:$D$19,2)</f>
        <v>RAUSA</v>
      </c>
      <c r="H17" s="3" t="str">
        <f t="shared" si="0"/>
        <v>4p5m</v>
      </c>
      <c r="I17">
        <v>117</v>
      </c>
      <c r="J17">
        <f>I17+I17*VLOOKUP(C17,rubros!$A$2:$D$4,3)</f>
        <v>143.91</v>
      </c>
    </row>
    <row r="18" spans="1:10">
      <c r="A18" s="3">
        <v>5</v>
      </c>
      <c r="B18" t="str">
        <f>INDEX(productos!$A$2:$D$24,MATCH(A18,productos!$A$2:$A$24,0),2)</f>
        <v>leonesa</v>
      </c>
      <c r="C18" s="3">
        <v>1</v>
      </c>
      <c r="D18" t="str">
        <f>VLOOKUP(C18,rubros!$A$2:$D$4,2)</f>
        <v>fiambres</v>
      </c>
      <c r="E18" t="s">
        <v>56</v>
      </c>
      <c r="F18" s="3">
        <v>6</v>
      </c>
      <c r="G18" t="str">
        <f>VLOOKUP(F18,marcas!$A$2:$D$19,2)</f>
        <v>CENTENARIO</v>
      </c>
      <c r="H18" s="3" t="str">
        <f t="shared" si="0"/>
        <v>5p6m</v>
      </c>
      <c r="I18">
        <v>78</v>
      </c>
      <c r="J18">
        <f>I18+I18*VLOOKUP(C18,rubros!$A$2:$D$4,3)</f>
        <v>95.94</v>
      </c>
    </row>
    <row r="19" spans="1:10">
      <c r="A19" s="3">
        <v>5</v>
      </c>
      <c r="B19" t="str">
        <f>INDEX(productos!$A$2:$D$24,MATCH(A19,productos!$A$2:$A$24,0),2)</f>
        <v>leonesa</v>
      </c>
      <c r="C19" s="3">
        <v>1</v>
      </c>
      <c r="D19" t="str">
        <f>VLOOKUP(C19,rubros!$A$2:$D$4,2)</f>
        <v>fiambres</v>
      </c>
      <c r="E19" t="s">
        <v>56</v>
      </c>
      <c r="F19" s="3">
        <v>7</v>
      </c>
      <c r="G19" t="str">
        <f>VLOOKUP(F19,marcas!$A$2:$D$19,2)</f>
        <v>KALI</v>
      </c>
      <c r="H19" s="3" t="str">
        <f t="shared" si="0"/>
        <v>5p7m</v>
      </c>
      <c r="I19">
        <v>82</v>
      </c>
      <c r="J19">
        <f>I19+I19*VLOOKUP(C19,rubros!$A$2:$D$4,3)</f>
        <v>100.86</v>
      </c>
    </row>
    <row r="20" spans="1:10">
      <c r="A20" s="3">
        <v>5</v>
      </c>
      <c r="B20" t="str">
        <f>INDEX(productos!$A$2:$D$24,MATCH(A20,productos!$A$2:$A$24,0),2)</f>
        <v>leonesa</v>
      </c>
      <c r="C20" s="3">
        <v>1</v>
      </c>
      <c r="D20" t="str">
        <f>VLOOKUP(C20,rubros!$A$2:$D$4,2)</f>
        <v>fiambres</v>
      </c>
      <c r="E20" t="s">
        <v>56</v>
      </c>
      <c r="F20" s="3">
        <v>5</v>
      </c>
      <c r="G20" t="str">
        <f>VLOOKUP(F20,marcas!$A$2:$D$19,2)</f>
        <v>RAUSA</v>
      </c>
      <c r="H20" s="3" t="str">
        <f t="shared" si="0"/>
        <v>5p5m</v>
      </c>
      <c r="I20">
        <v>67</v>
      </c>
      <c r="J20">
        <f>I20+I20*VLOOKUP(C20,rubros!$A$2:$D$4,3)</f>
        <v>82.41</v>
      </c>
    </row>
    <row r="21" spans="1:10">
      <c r="A21" s="3">
        <v>6</v>
      </c>
      <c r="B21" t="str">
        <f>INDEX(productos!$A$2:$D$24,MATCH(A21,productos!$A$2:$A$24,0),2)</f>
        <v>panchos</v>
      </c>
      <c r="C21" s="3">
        <v>1</v>
      </c>
      <c r="D21" t="str">
        <f>VLOOKUP(C21,rubros!$A$2:$D$4,2)</f>
        <v>fiambres</v>
      </c>
      <c r="E21" t="s">
        <v>56</v>
      </c>
      <c r="F21" s="3">
        <v>3</v>
      </c>
      <c r="G21" t="str">
        <f>VLOOKUP(F21,marcas!$A$2:$D$19,2)</f>
        <v>OTTONELO</v>
      </c>
      <c r="H21" s="3" t="str">
        <f t="shared" si="0"/>
        <v>6p3m</v>
      </c>
      <c r="I21">
        <v>58</v>
      </c>
      <c r="J21">
        <f>I21+I21*VLOOKUP(C21,rubros!$A$2:$D$4,3)</f>
        <v>71.34</v>
      </c>
    </row>
    <row r="22" spans="1:10">
      <c r="A22" s="3">
        <v>6</v>
      </c>
      <c r="B22" t="str">
        <f>INDEX(productos!$A$2:$D$24,MATCH(A22,productos!$A$2:$A$24,0),2)</f>
        <v>panchos</v>
      </c>
      <c r="C22" s="3">
        <v>1</v>
      </c>
      <c r="D22" t="str">
        <f>VLOOKUP(C22,rubros!$A$2:$D$4,2)</f>
        <v>fiambres</v>
      </c>
      <c r="E22" t="s">
        <v>56</v>
      </c>
      <c r="F22" s="3">
        <v>8</v>
      </c>
      <c r="G22" t="str">
        <f>VLOOKUP(F22,marcas!$A$2:$D$19,2)</f>
        <v>SHNECK</v>
      </c>
      <c r="H22" s="3" t="str">
        <f t="shared" si="0"/>
        <v>6p8m</v>
      </c>
      <c r="I22">
        <v>72</v>
      </c>
      <c r="J22">
        <f>I22+I22*VLOOKUP(C22,rubros!$A$2:$D$4,3)</f>
        <v>88.56</v>
      </c>
    </row>
    <row r="23" spans="1:10">
      <c r="A23" s="3">
        <v>7</v>
      </c>
      <c r="B23" t="str">
        <f>INDEX(productos!$A$2:$D$24,MATCH(A23,productos!$A$2:$A$24,0),2)</f>
        <v>queso muzarela</v>
      </c>
      <c r="C23" s="3">
        <v>2</v>
      </c>
      <c r="D23" t="str">
        <f>VLOOKUP(C23,rubros!$A$2:$D$4,2)</f>
        <v>lacteos</v>
      </c>
      <c r="E23" t="s">
        <v>56</v>
      </c>
      <c r="F23" s="3">
        <v>9</v>
      </c>
      <c r="G23" t="str">
        <f>VLOOKUP(F23,marcas!$A$2:$D$19,2)</f>
        <v>PARMALAT</v>
      </c>
      <c r="H23" s="3" t="str">
        <f t="shared" si="0"/>
        <v>7p9m</v>
      </c>
      <c r="I23">
        <v>74</v>
      </c>
      <c r="J23">
        <f>I23+I23*VLOOKUP(C23,rubros!$A$2:$D$4,3)</f>
        <v>84.36</v>
      </c>
    </row>
    <row r="24" spans="1:10">
      <c r="A24" s="3">
        <v>7</v>
      </c>
      <c r="B24" t="str">
        <f>INDEX(productos!$A$2:$D$24,MATCH(A24,productos!$A$2:$A$24,0),2)</f>
        <v>queso muzarela</v>
      </c>
      <c r="C24" s="3">
        <v>2</v>
      </c>
      <c r="D24" t="str">
        <f>VLOOKUP(C24,rubros!$A$2:$D$4,2)</f>
        <v>lacteos</v>
      </c>
      <c r="E24" t="s">
        <v>56</v>
      </c>
      <c r="F24" s="3">
        <v>10</v>
      </c>
      <c r="G24" t="str">
        <f>VLOOKUP(F24,marcas!$A$2:$D$19,2)</f>
        <v>CONAPROLE</v>
      </c>
      <c r="H24" s="3" t="str">
        <f t="shared" si="0"/>
        <v>7p10m</v>
      </c>
      <c r="I24">
        <v>84</v>
      </c>
      <c r="J24">
        <f>I24+I24*VLOOKUP(C24,rubros!$A$2:$D$4,3)</f>
        <v>95.76</v>
      </c>
    </row>
    <row r="25" spans="1:10">
      <c r="A25" s="3">
        <v>7</v>
      </c>
      <c r="B25" t="str">
        <f>INDEX(productos!$A$2:$D$24,MATCH(A25,productos!$A$2:$A$24,0),2)</f>
        <v>queso muzarela</v>
      </c>
      <c r="C25" s="3">
        <v>2</v>
      </c>
      <c r="D25" t="str">
        <f>VLOOKUP(C25,rubros!$A$2:$D$4,2)</f>
        <v>lacteos</v>
      </c>
      <c r="E25" t="s">
        <v>56</v>
      </c>
      <c r="F25" s="3">
        <v>13</v>
      </c>
      <c r="G25" t="str">
        <f>VLOOKUP(F25,marcas!$A$2:$D$19,2)</f>
        <v>MILKY</v>
      </c>
      <c r="H25" s="3" t="str">
        <f t="shared" si="0"/>
        <v>7p13m</v>
      </c>
      <c r="I25">
        <v>60</v>
      </c>
      <c r="J25">
        <f>I25+I25*VLOOKUP(C25,rubros!$A$2:$D$4,3)</f>
        <v>68.400000000000006</v>
      </c>
    </row>
    <row r="26" spans="1:10">
      <c r="A26" s="3">
        <v>7</v>
      </c>
      <c r="B26" t="str">
        <f>INDEX(productos!$A$2:$D$24,MATCH(A26,productos!$A$2:$A$24,0),2)</f>
        <v>queso muzarela</v>
      </c>
      <c r="C26" s="3">
        <v>2</v>
      </c>
      <c r="D26" t="str">
        <f>VLOOKUP(C26,rubros!$A$2:$D$4,2)</f>
        <v>lacteos</v>
      </c>
      <c r="E26" t="s">
        <v>56</v>
      </c>
      <c r="F26" s="3">
        <v>11</v>
      </c>
      <c r="G26" t="str">
        <f>VLOOKUP(F26,marcas!$A$2:$D$19,2)</f>
        <v>CAPROLET</v>
      </c>
      <c r="H26" s="3" t="str">
        <f t="shared" si="0"/>
        <v>7p11m</v>
      </c>
      <c r="I26">
        <v>92</v>
      </c>
      <c r="J26">
        <f>I26+I26*VLOOKUP(C26,rubros!$A$2:$D$4,3)</f>
        <v>104.88</v>
      </c>
    </row>
    <row r="27" spans="1:10">
      <c r="A27" s="3">
        <v>8</v>
      </c>
      <c r="B27" t="str">
        <f>INDEX(productos!$A$2:$D$24,MATCH(A27,productos!$A$2:$A$24,0),2)</f>
        <v>queso sandwich</v>
      </c>
      <c r="C27" s="3">
        <v>2</v>
      </c>
      <c r="D27" t="str">
        <f>VLOOKUP(C27,rubros!$A$2:$D$4,2)</f>
        <v>lacteos</v>
      </c>
      <c r="E27" t="s">
        <v>56</v>
      </c>
      <c r="F27" s="3">
        <v>9</v>
      </c>
      <c r="G27" t="str">
        <f>VLOOKUP(F27,marcas!$A$2:$D$19,2)</f>
        <v>PARMALAT</v>
      </c>
      <c r="H27" s="3" t="str">
        <f t="shared" si="0"/>
        <v>8p9m</v>
      </c>
      <c r="I27">
        <v>79</v>
      </c>
      <c r="J27">
        <f>I27+I27*VLOOKUP(C27,rubros!$A$2:$D$4,3)</f>
        <v>90.06</v>
      </c>
    </row>
    <row r="28" spans="1:10">
      <c r="A28" s="3">
        <v>8</v>
      </c>
      <c r="B28" t="str">
        <f>INDEX(productos!$A$2:$D$24,MATCH(A28,productos!$A$2:$A$24,0),2)</f>
        <v>queso sandwich</v>
      </c>
      <c r="C28" s="3">
        <v>2</v>
      </c>
      <c r="D28" t="str">
        <f>VLOOKUP(C28,rubros!$A$2:$D$4,2)</f>
        <v>lacteos</v>
      </c>
      <c r="E28" t="s">
        <v>56</v>
      </c>
      <c r="F28" s="3">
        <v>10</v>
      </c>
      <c r="G28" t="str">
        <f>VLOOKUP(F28,marcas!$A$2:$D$19,2)</f>
        <v>CONAPROLE</v>
      </c>
      <c r="H28" s="3" t="str">
        <f t="shared" si="0"/>
        <v>8p10m</v>
      </c>
      <c r="I28">
        <v>81</v>
      </c>
      <c r="J28">
        <f>I28+I28*VLOOKUP(C28,rubros!$A$2:$D$4,3)</f>
        <v>92.34</v>
      </c>
    </row>
    <row r="29" spans="1:10">
      <c r="A29" s="3">
        <v>8</v>
      </c>
      <c r="B29" t="str">
        <f>INDEX(productos!$A$2:$D$24,MATCH(A29,productos!$A$2:$A$24,0),2)</f>
        <v>queso sandwich</v>
      </c>
      <c r="C29" s="3">
        <v>2</v>
      </c>
      <c r="D29" t="str">
        <f>VLOOKUP(C29,rubros!$A$2:$D$4,2)</f>
        <v>lacteos</v>
      </c>
      <c r="E29" t="s">
        <v>56</v>
      </c>
      <c r="F29" s="3">
        <v>13</v>
      </c>
      <c r="G29" t="str">
        <f>VLOOKUP(F29,marcas!$A$2:$D$19,2)</f>
        <v>MILKY</v>
      </c>
      <c r="H29" s="3" t="str">
        <f t="shared" si="0"/>
        <v>8p13m</v>
      </c>
      <c r="I29">
        <v>77</v>
      </c>
      <c r="J29">
        <f>I29+I29*VLOOKUP(C29,rubros!$A$2:$D$4,3)</f>
        <v>87.78</v>
      </c>
    </row>
    <row r="30" spans="1:10">
      <c r="A30" s="3">
        <v>8</v>
      </c>
      <c r="B30" t="str">
        <f>INDEX(productos!$A$2:$D$24,MATCH(A30,productos!$A$2:$A$24,0),2)</f>
        <v>queso sandwich</v>
      </c>
      <c r="C30" s="3">
        <v>2</v>
      </c>
      <c r="D30" t="str">
        <f>VLOOKUP(C30,rubros!$A$2:$D$4,2)</f>
        <v>lacteos</v>
      </c>
      <c r="E30" t="s">
        <v>56</v>
      </c>
      <c r="F30" s="3">
        <v>14</v>
      </c>
      <c r="G30" t="str">
        <f>VLOOKUP(F30,marcas!$A$2:$D$19,2)</f>
        <v>LACTERIA</v>
      </c>
      <c r="H30" s="3" t="str">
        <f t="shared" si="0"/>
        <v>8p14m</v>
      </c>
      <c r="I30">
        <v>65</v>
      </c>
      <c r="J30">
        <f>I30+I30*VLOOKUP(C30,rubros!$A$2:$D$4,3)</f>
        <v>74.099999999999994</v>
      </c>
    </row>
    <row r="31" spans="1:10">
      <c r="A31" s="3">
        <v>9</v>
      </c>
      <c r="B31" t="str">
        <f>INDEX(productos!$A$2:$D$24,MATCH(A31,productos!$A$2:$A$24,0),2)</f>
        <v>queso dambo</v>
      </c>
      <c r="C31" s="3">
        <v>2</v>
      </c>
      <c r="D31" t="str">
        <f>VLOOKUP(C31,rubros!$A$2:$D$4,2)</f>
        <v>lacteos</v>
      </c>
      <c r="E31" t="s">
        <v>56</v>
      </c>
      <c r="F31" s="3">
        <v>9</v>
      </c>
      <c r="G31" t="str">
        <f>VLOOKUP(F31,marcas!$A$2:$D$19,2)</f>
        <v>PARMALAT</v>
      </c>
      <c r="H31" s="3" t="str">
        <f t="shared" si="0"/>
        <v>9p9m</v>
      </c>
      <c r="I31">
        <v>110</v>
      </c>
      <c r="J31">
        <f>I31+I31*VLOOKUP(C31,rubros!$A$2:$D$4,3)</f>
        <v>125.4</v>
      </c>
    </row>
    <row r="32" spans="1:10">
      <c r="A32" s="3">
        <v>9</v>
      </c>
      <c r="B32" t="str">
        <f>INDEX(productos!$A$2:$D$24,MATCH(A32,productos!$A$2:$A$24,0),2)</f>
        <v>queso dambo</v>
      </c>
      <c r="C32" s="3">
        <v>2</v>
      </c>
      <c r="D32" t="str">
        <f>VLOOKUP(C32,rubros!$A$2:$D$4,2)</f>
        <v>lacteos</v>
      </c>
      <c r="E32" t="s">
        <v>56</v>
      </c>
      <c r="F32" s="3">
        <v>10</v>
      </c>
      <c r="G32" t="str">
        <f>VLOOKUP(F32,marcas!$A$2:$D$19,2)</f>
        <v>CONAPROLE</v>
      </c>
      <c r="H32" s="3" t="str">
        <f t="shared" si="0"/>
        <v>9p10m</v>
      </c>
      <c r="I32">
        <v>112</v>
      </c>
      <c r="J32">
        <f>I32+I32*VLOOKUP(C32,rubros!$A$2:$D$4,3)</f>
        <v>127.68</v>
      </c>
    </row>
    <row r="33" spans="1:10">
      <c r="A33" s="3">
        <v>9</v>
      </c>
      <c r="B33" t="str">
        <f>INDEX(productos!$A$2:$D$24,MATCH(A33,productos!$A$2:$A$24,0),2)</f>
        <v>queso dambo</v>
      </c>
      <c r="C33" s="3">
        <v>2</v>
      </c>
      <c r="D33" t="str">
        <f>VLOOKUP(C33,rubros!$A$2:$D$4,2)</f>
        <v>lacteos</v>
      </c>
      <c r="E33" t="s">
        <v>56</v>
      </c>
      <c r="F33" s="3">
        <v>13</v>
      </c>
      <c r="G33" t="str">
        <f>VLOOKUP(F33,marcas!$A$2:$D$19,2)</f>
        <v>MILKY</v>
      </c>
      <c r="H33" s="3" t="str">
        <f t="shared" si="0"/>
        <v>9p13m</v>
      </c>
      <c r="I33">
        <v>98</v>
      </c>
      <c r="J33">
        <f>I33+I33*VLOOKUP(C33,rubros!$A$2:$D$4,3)</f>
        <v>111.72</v>
      </c>
    </row>
    <row r="34" spans="1:10">
      <c r="A34" s="3">
        <v>10</v>
      </c>
      <c r="B34" t="str">
        <f>INDEX(productos!$A$2:$D$24,MATCH(A34,productos!$A$2:$A$24,0),2)</f>
        <v>queso rallado</v>
      </c>
      <c r="C34" s="3">
        <v>2</v>
      </c>
      <c r="D34" t="str">
        <f>VLOOKUP(C34,rubros!$A$2:$D$4,2)</f>
        <v>lacteos</v>
      </c>
      <c r="E34" t="s">
        <v>56</v>
      </c>
      <c r="F34" s="3">
        <v>12</v>
      </c>
      <c r="G34" t="str">
        <f>VLOOKUP(F34,marcas!$A$2:$D$19,2)</f>
        <v>CLALDY</v>
      </c>
      <c r="H34" s="3" t="str">
        <f t="shared" si="0"/>
        <v>10p12m</v>
      </c>
      <c r="I34">
        <v>125</v>
      </c>
      <c r="J34">
        <f>I34+I34*VLOOKUP(C34,rubros!$A$2:$D$4,3)</f>
        <v>142.5</v>
      </c>
    </row>
    <row r="35" spans="1:10">
      <c r="A35" s="3">
        <v>10</v>
      </c>
      <c r="B35" t="str">
        <f>INDEX(productos!$A$2:$D$24,MATCH(A35,productos!$A$2:$A$24,0),2)</f>
        <v>queso rallado</v>
      </c>
      <c r="C35" s="3">
        <v>2</v>
      </c>
      <c r="D35" t="str">
        <f>VLOOKUP(C35,rubros!$A$2:$D$4,2)</f>
        <v>lacteos</v>
      </c>
      <c r="E35" t="s">
        <v>56</v>
      </c>
      <c r="F35" s="3">
        <v>11</v>
      </c>
      <c r="G35" t="str">
        <f>VLOOKUP(F35,marcas!$A$2:$D$19,2)</f>
        <v>CAPROLET</v>
      </c>
      <c r="H35" s="3" t="str">
        <f t="shared" si="0"/>
        <v>10p11m</v>
      </c>
      <c r="I35">
        <v>117</v>
      </c>
      <c r="J35">
        <f>I35+I35*VLOOKUP(C35,rubros!$A$2:$D$4,3)</f>
        <v>133.38</v>
      </c>
    </row>
    <row r="36" spans="1:10">
      <c r="A36" s="3">
        <v>10</v>
      </c>
      <c r="B36" t="str">
        <f>INDEX(productos!$A$2:$D$24,MATCH(A36,productos!$A$2:$A$24,0),2)</f>
        <v>queso rallado</v>
      </c>
      <c r="C36" s="3">
        <v>2</v>
      </c>
      <c r="D36" t="str">
        <f>VLOOKUP(C36,rubros!$A$2:$D$4,2)</f>
        <v>lacteos</v>
      </c>
      <c r="E36" t="s">
        <v>56</v>
      </c>
      <c r="F36" s="3">
        <v>14</v>
      </c>
      <c r="G36" t="str">
        <f>VLOOKUP(F36,marcas!$A$2:$D$19,2)</f>
        <v>LACTERIA</v>
      </c>
      <c r="H36" s="3" t="str">
        <f t="shared" si="0"/>
        <v>10p14m</v>
      </c>
      <c r="I36">
        <v>109</v>
      </c>
      <c r="J36">
        <f>I36+I36*VLOOKUP(C36,rubros!$A$2:$D$4,3)</f>
        <v>124.26</v>
      </c>
    </row>
    <row r="37" spans="1:10">
      <c r="A37" s="3">
        <v>11</v>
      </c>
      <c r="B37" t="str">
        <f>INDEX(productos!$A$2:$D$24,MATCH(A37,productos!$A$2:$A$24,0),2)</f>
        <v>leche entera</v>
      </c>
      <c r="C37" s="3">
        <v>2</v>
      </c>
      <c r="D37" t="str">
        <f>VLOOKUP(C37,rubros!$A$2:$D$4,2)</f>
        <v>lacteos</v>
      </c>
      <c r="E37" t="s">
        <v>57</v>
      </c>
      <c r="F37" s="3">
        <v>9</v>
      </c>
      <c r="G37" t="str">
        <f>VLOOKUP(F37,marcas!$A$2:$D$19,2)</f>
        <v>PARMALAT</v>
      </c>
      <c r="H37" s="3" t="str">
        <f t="shared" si="0"/>
        <v>11p9m</v>
      </c>
      <c r="I37">
        <v>11</v>
      </c>
      <c r="J37">
        <f>I37+I37*VLOOKUP(C37,rubros!$A$2:$D$4,3)</f>
        <v>12.54</v>
      </c>
    </row>
    <row r="38" spans="1:10">
      <c r="A38" s="3">
        <v>11</v>
      </c>
      <c r="B38" t="str">
        <f>INDEX(productos!$A$2:$D$24,MATCH(A38,productos!$A$2:$A$24,0),2)</f>
        <v>leche entera</v>
      </c>
      <c r="C38" s="3">
        <v>2</v>
      </c>
      <c r="D38" t="str">
        <f>VLOOKUP(C38,rubros!$A$2:$D$4,2)</f>
        <v>lacteos</v>
      </c>
      <c r="E38" t="s">
        <v>57</v>
      </c>
      <c r="F38" s="3">
        <v>10</v>
      </c>
      <c r="G38" t="str">
        <f>VLOOKUP(F38,marcas!$A$2:$D$19,2)</f>
        <v>CONAPROLE</v>
      </c>
      <c r="H38" s="3" t="str">
        <f t="shared" si="0"/>
        <v>11p10m</v>
      </c>
      <c r="I38">
        <v>11.5</v>
      </c>
      <c r="J38">
        <f>I38+I38*VLOOKUP(C38,rubros!$A$2:$D$4,3)</f>
        <v>13.11</v>
      </c>
    </row>
    <row r="39" spans="1:10">
      <c r="A39" s="3">
        <v>11</v>
      </c>
      <c r="B39" t="str">
        <f>INDEX(productos!$A$2:$D$24,MATCH(A39,productos!$A$2:$A$24,0),2)</f>
        <v>leche entera</v>
      </c>
      <c r="C39" s="3">
        <v>2</v>
      </c>
      <c r="D39" t="str">
        <f>VLOOKUP(C39,rubros!$A$2:$D$4,2)</f>
        <v>lacteos</v>
      </c>
      <c r="E39" t="s">
        <v>57</v>
      </c>
      <c r="F39" s="3">
        <v>11</v>
      </c>
      <c r="G39" t="str">
        <f>VLOOKUP(F39,marcas!$A$2:$D$19,2)</f>
        <v>CAPROLET</v>
      </c>
      <c r="H39" s="3" t="str">
        <f t="shared" si="0"/>
        <v>11p11m</v>
      </c>
      <c r="I39">
        <v>12</v>
      </c>
      <c r="J39">
        <f>I39+I39*VLOOKUP(C39,rubros!$A$2:$D$4,3)</f>
        <v>13.68</v>
      </c>
    </row>
    <row r="40" spans="1:10">
      <c r="A40" s="3">
        <v>11</v>
      </c>
      <c r="B40" t="str">
        <f>INDEX(productos!$A$2:$D$24,MATCH(A40,productos!$A$2:$A$24,0),2)</f>
        <v>leche entera</v>
      </c>
      <c r="C40" s="3">
        <v>2</v>
      </c>
      <c r="D40" t="str">
        <f>VLOOKUP(C40,rubros!$A$2:$D$4,2)</f>
        <v>lacteos</v>
      </c>
      <c r="E40" t="s">
        <v>57</v>
      </c>
      <c r="F40" s="3">
        <v>14</v>
      </c>
      <c r="G40" t="str">
        <f>VLOOKUP(F40,marcas!$A$2:$D$19,2)</f>
        <v>LACTERIA</v>
      </c>
      <c r="H40" s="3" t="str">
        <f t="shared" si="0"/>
        <v>11p14m</v>
      </c>
      <c r="I40">
        <v>10</v>
      </c>
      <c r="J40">
        <f>I40+I40*VLOOKUP(C40,rubros!$A$2:$D$4,3)</f>
        <v>11.4</v>
      </c>
    </row>
    <row r="41" spans="1:10">
      <c r="A41" s="3">
        <v>12</v>
      </c>
      <c r="B41" t="str">
        <f>INDEX(productos!$A$2:$D$24,MATCH(A41,productos!$A$2:$A$24,0),2)</f>
        <v>yogurt</v>
      </c>
      <c r="C41" s="3">
        <v>2</v>
      </c>
      <c r="D41" t="str">
        <f>VLOOKUP(C41,rubros!$A$2:$D$4,2)</f>
        <v>lacteos</v>
      </c>
      <c r="E41" t="s">
        <v>57</v>
      </c>
      <c r="F41" s="3">
        <v>9</v>
      </c>
      <c r="G41" t="str">
        <f>VLOOKUP(F41,marcas!$A$2:$D$19,2)</f>
        <v>PARMALAT</v>
      </c>
      <c r="H41" s="3" t="str">
        <f t="shared" si="0"/>
        <v>12p9m</v>
      </c>
      <c r="I41">
        <v>18</v>
      </c>
      <c r="J41">
        <f>I41+I41*VLOOKUP(C41,rubros!$A$2:$D$4,3)</f>
        <v>20.52</v>
      </c>
    </row>
    <row r="42" spans="1:10">
      <c r="A42" s="3">
        <v>12</v>
      </c>
      <c r="B42" t="str">
        <f>INDEX(productos!$A$2:$D$24,MATCH(A42,productos!$A$2:$A$24,0),2)</f>
        <v>yogurt</v>
      </c>
      <c r="C42" s="3">
        <v>2</v>
      </c>
      <c r="D42" t="str">
        <f>VLOOKUP(C42,rubros!$A$2:$D$4,2)</f>
        <v>lacteos</v>
      </c>
      <c r="E42" t="s">
        <v>57</v>
      </c>
      <c r="F42" s="3">
        <v>14</v>
      </c>
      <c r="G42" t="str">
        <f>VLOOKUP(F42,marcas!$A$2:$D$19,2)</f>
        <v>LACTERIA</v>
      </c>
      <c r="H42" s="3" t="str">
        <f t="shared" si="0"/>
        <v>12p14m</v>
      </c>
      <c r="I42">
        <v>19</v>
      </c>
      <c r="J42">
        <f>I42+I42*VLOOKUP(C42,rubros!$A$2:$D$4,3)</f>
        <v>21.66</v>
      </c>
    </row>
    <row r="43" spans="1:10">
      <c r="A43" s="3">
        <v>12</v>
      </c>
      <c r="B43" t="str">
        <f>INDEX(productos!$A$2:$D$24,MATCH(A43,productos!$A$2:$A$24,0),2)</f>
        <v>yogurt</v>
      </c>
      <c r="C43" s="3">
        <v>2</v>
      </c>
      <c r="D43" t="str">
        <f>VLOOKUP(C43,rubros!$A$2:$D$4,2)</f>
        <v>lacteos</v>
      </c>
      <c r="E43" t="s">
        <v>57</v>
      </c>
      <c r="F43" s="3">
        <v>13</v>
      </c>
      <c r="G43" t="str">
        <f>VLOOKUP(F43,marcas!$A$2:$D$19,2)</f>
        <v>MILKY</v>
      </c>
      <c r="H43" s="3" t="str">
        <f t="shared" si="0"/>
        <v>12p13m</v>
      </c>
      <c r="I43">
        <v>15</v>
      </c>
      <c r="J43">
        <f>I43+I43*VLOOKUP(C43,rubros!$A$2:$D$4,3)</f>
        <v>17.100000000000001</v>
      </c>
    </row>
    <row r="44" spans="1:10">
      <c r="A44" s="3">
        <v>12</v>
      </c>
      <c r="B44" t="str">
        <f>INDEX(productos!$A$2:$D$24,MATCH(A44,productos!$A$2:$A$24,0),2)</f>
        <v>yogurt</v>
      </c>
      <c r="C44" s="3">
        <v>2</v>
      </c>
      <c r="D44" t="str">
        <f>VLOOKUP(C44,rubros!$A$2:$D$4,2)</f>
        <v>lacteos</v>
      </c>
      <c r="E44" t="s">
        <v>57</v>
      </c>
      <c r="F44" s="3">
        <v>12</v>
      </c>
      <c r="G44" t="str">
        <f>VLOOKUP(F44,marcas!$A$2:$D$19,2)</f>
        <v>CLALDY</v>
      </c>
      <c r="H44" s="3" t="str">
        <f t="shared" si="0"/>
        <v>12p12m</v>
      </c>
      <c r="I44">
        <v>15.5</v>
      </c>
      <c r="J44">
        <f>I44+I44*VLOOKUP(C44,rubros!$A$2:$D$4,3)</f>
        <v>17.670000000000002</v>
      </c>
    </row>
    <row r="45" spans="1:10">
      <c r="A45" s="3">
        <v>12</v>
      </c>
      <c r="B45" t="str">
        <f>INDEX(productos!$A$2:$D$24,MATCH(A45,productos!$A$2:$A$24,0),2)</f>
        <v>yogurt</v>
      </c>
      <c r="C45" s="3">
        <v>2</v>
      </c>
      <c r="D45" t="str">
        <f>VLOOKUP(C45,rubros!$A$2:$D$4,2)</f>
        <v>lacteos</v>
      </c>
      <c r="E45" t="s">
        <v>57</v>
      </c>
      <c r="F45" s="3">
        <v>11</v>
      </c>
      <c r="G45" t="str">
        <f>VLOOKUP(F45,marcas!$A$2:$D$19,2)</f>
        <v>CAPROLET</v>
      </c>
      <c r="H45" s="3" t="str">
        <f t="shared" si="0"/>
        <v>12p11m</v>
      </c>
      <c r="I45">
        <v>16</v>
      </c>
      <c r="J45">
        <f>I45+I45*VLOOKUP(C45,rubros!$A$2:$D$4,3)</f>
        <v>18.240000000000002</v>
      </c>
    </row>
    <row r="46" spans="1:10">
      <c r="A46" s="3">
        <v>12</v>
      </c>
      <c r="B46" t="str">
        <f>INDEX(productos!$A$2:$D$24,MATCH(A46,productos!$A$2:$A$24,0),2)</f>
        <v>yogurt</v>
      </c>
      <c r="C46" s="3">
        <v>2</v>
      </c>
      <c r="D46" t="str">
        <f>VLOOKUP(C46,rubros!$A$2:$D$4,2)</f>
        <v>lacteos</v>
      </c>
      <c r="E46" t="s">
        <v>57</v>
      </c>
      <c r="F46" s="3">
        <v>10</v>
      </c>
      <c r="G46" t="str">
        <f>VLOOKUP(F46,marcas!$A$2:$D$19,2)</f>
        <v>CONAPROLE</v>
      </c>
      <c r="H46" s="3" t="str">
        <f t="shared" si="0"/>
        <v>12p10m</v>
      </c>
      <c r="I46">
        <v>21</v>
      </c>
      <c r="J46">
        <f>I46+I46*VLOOKUP(C46,rubros!$A$2:$D$4,3)</f>
        <v>23.94</v>
      </c>
    </row>
    <row r="47" spans="1:10">
      <c r="A47" s="3">
        <v>13</v>
      </c>
      <c r="B47" t="str">
        <f>INDEX(productos!$A$2:$D$24,MATCH(A47,productos!$A$2:$A$24,0),2)</f>
        <v>queso colonia</v>
      </c>
      <c r="C47" s="3">
        <v>2</v>
      </c>
      <c r="D47" t="str">
        <f>VLOOKUP(C47,rubros!$A$2:$D$4,2)</f>
        <v>lacteos</v>
      </c>
      <c r="E47" t="s">
        <v>56</v>
      </c>
      <c r="F47" s="3">
        <v>13</v>
      </c>
      <c r="G47" t="str">
        <f>VLOOKUP(F47,marcas!$A$2:$D$19,2)</f>
        <v>MILKY</v>
      </c>
      <c r="H47" s="3" t="str">
        <f t="shared" si="0"/>
        <v>13p13m</v>
      </c>
      <c r="I47">
        <v>70</v>
      </c>
      <c r="J47">
        <f>I47+I47*VLOOKUP(C47,rubros!$A$2:$D$4,3)</f>
        <v>79.8</v>
      </c>
    </row>
    <row r="48" spans="1:10">
      <c r="A48" s="3">
        <v>13</v>
      </c>
      <c r="B48" t="str">
        <f>INDEX(productos!$A$2:$D$24,MATCH(A48,productos!$A$2:$A$24,0),2)</f>
        <v>queso colonia</v>
      </c>
      <c r="C48" s="3">
        <v>2</v>
      </c>
      <c r="D48" t="str">
        <f>VLOOKUP(C48,rubros!$A$2:$D$4,2)</f>
        <v>lacteos</v>
      </c>
      <c r="E48" t="s">
        <v>56</v>
      </c>
      <c r="F48" s="3">
        <v>14</v>
      </c>
      <c r="G48" t="str">
        <f>VLOOKUP(F48,marcas!$A$2:$D$19,2)</f>
        <v>LACTERIA</v>
      </c>
      <c r="H48" s="3" t="str">
        <f t="shared" si="0"/>
        <v>13p14m</v>
      </c>
      <c r="I48">
        <v>76</v>
      </c>
      <c r="J48">
        <f>I48+I48*VLOOKUP(C48,rubros!$A$2:$D$4,3)</f>
        <v>86.64</v>
      </c>
    </row>
    <row r="49" spans="1:10">
      <c r="A49" s="3">
        <v>13</v>
      </c>
      <c r="B49" t="str">
        <f>INDEX(productos!$A$2:$D$24,MATCH(A49,productos!$A$2:$A$24,0),2)</f>
        <v>queso colonia</v>
      </c>
      <c r="C49" s="3">
        <v>2</v>
      </c>
      <c r="D49" t="str">
        <f>VLOOKUP(C49,rubros!$A$2:$D$4,2)</f>
        <v>lacteos</v>
      </c>
      <c r="E49" t="s">
        <v>56</v>
      </c>
      <c r="F49" s="3">
        <v>12</v>
      </c>
      <c r="G49" t="str">
        <f>VLOOKUP(F49,marcas!$A$2:$D$19,2)</f>
        <v>CLALDY</v>
      </c>
      <c r="H49" s="3" t="str">
        <f t="shared" si="0"/>
        <v>13p12m</v>
      </c>
      <c r="I49">
        <v>89</v>
      </c>
      <c r="J49">
        <f>I49+I49*VLOOKUP(C49,rubros!$A$2:$D$4,3)</f>
        <v>101.46000000000001</v>
      </c>
    </row>
    <row r="50" spans="1:10">
      <c r="A50" s="3">
        <v>13</v>
      </c>
      <c r="B50" t="str">
        <f>INDEX(productos!$A$2:$D$24,MATCH(A50,productos!$A$2:$A$24,0),2)</f>
        <v>queso colonia</v>
      </c>
      <c r="C50" s="3">
        <v>2</v>
      </c>
      <c r="D50" t="str">
        <f>VLOOKUP(C50,rubros!$A$2:$D$4,2)</f>
        <v>lacteos</v>
      </c>
      <c r="E50" t="s">
        <v>56</v>
      </c>
      <c r="F50" s="3">
        <v>11</v>
      </c>
      <c r="G50" t="str">
        <f>VLOOKUP(F50,marcas!$A$2:$D$19,2)</f>
        <v>CAPROLET</v>
      </c>
      <c r="H50" s="3" t="str">
        <f t="shared" si="0"/>
        <v>13p11m</v>
      </c>
      <c r="I50">
        <v>112</v>
      </c>
      <c r="J50">
        <f>I50+I50*VLOOKUP(C50,rubros!$A$2:$D$4,3)</f>
        <v>127.68</v>
      </c>
    </row>
    <row r="51" spans="1:10">
      <c r="A51" s="3">
        <v>14</v>
      </c>
      <c r="B51" t="str">
        <f>INDEX(productos!$A$2:$D$24,MATCH(A51,productos!$A$2:$A$24,0),2)</f>
        <v>queso semiduro</v>
      </c>
      <c r="C51" s="3">
        <v>2</v>
      </c>
      <c r="D51" t="str">
        <f>VLOOKUP(C51,rubros!$A$2:$D$4,2)</f>
        <v>lacteos</v>
      </c>
      <c r="E51" t="s">
        <v>56</v>
      </c>
      <c r="F51" s="3">
        <v>13</v>
      </c>
      <c r="G51" t="str">
        <f>VLOOKUP(F51,marcas!$A$2:$D$19,2)</f>
        <v>MILKY</v>
      </c>
      <c r="H51" s="3" t="str">
        <f t="shared" si="0"/>
        <v>14p13m</v>
      </c>
      <c r="I51">
        <v>98</v>
      </c>
      <c r="J51">
        <f>I51+I51*VLOOKUP(C51,rubros!$A$2:$D$4,3)</f>
        <v>111.72</v>
      </c>
    </row>
    <row r="52" spans="1:10">
      <c r="A52" s="3">
        <v>14</v>
      </c>
      <c r="B52" t="str">
        <f>INDEX(productos!$A$2:$D$24,MATCH(A52,productos!$A$2:$A$24,0),2)</f>
        <v>queso semiduro</v>
      </c>
      <c r="C52" s="3">
        <v>2</v>
      </c>
      <c r="D52" t="str">
        <f>VLOOKUP(C52,rubros!$A$2:$D$4,2)</f>
        <v>lacteos</v>
      </c>
      <c r="E52" t="s">
        <v>56</v>
      </c>
      <c r="F52" s="3">
        <v>14</v>
      </c>
      <c r="G52" t="str">
        <f>VLOOKUP(F52,marcas!$A$2:$D$19,2)</f>
        <v>LACTERIA</v>
      </c>
      <c r="H52" s="3" t="str">
        <f t="shared" si="0"/>
        <v>14p14m</v>
      </c>
      <c r="I52">
        <v>95</v>
      </c>
      <c r="J52">
        <f>I52+I52*VLOOKUP(C52,rubros!$A$2:$D$4,3)</f>
        <v>108.3</v>
      </c>
    </row>
    <row r="53" spans="1:10">
      <c r="A53" s="3">
        <v>14</v>
      </c>
      <c r="B53" t="str">
        <f>INDEX(productos!$A$2:$D$24,MATCH(A53,productos!$A$2:$A$24,0),2)</f>
        <v>queso semiduro</v>
      </c>
      <c r="C53" s="3">
        <v>2</v>
      </c>
      <c r="D53" t="str">
        <f>VLOOKUP(C53,rubros!$A$2:$D$4,2)</f>
        <v>lacteos</v>
      </c>
      <c r="E53" t="s">
        <v>56</v>
      </c>
      <c r="F53" s="3">
        <v>12</v>
      </c>
      <c r="G53" t="str">
        <f>VLOOKUP(F53,marcas!$A$2:$D$19,2)</f>
        <v>CLALDY</v>
      </c>
      <c r="H53" s="3" t="str">
        <f t="shared" si="0"/>
        <v>14p12m</v>
      </c>
      <c r="I53">
        <v>70.5</v>
      </c>
      <c r="J53">
        <f>I53+I53*VLOOKUP(C53,rubros!$A$2:$D$4,3)</f>
        <v>80.37</v>
      </c>
    </row>
    <row r="54" spans="1:10">
      <c r="A54" s="3">
        <v>14</v>
      </c>
      <c r="B54" t="str">
        <f>INDEX(productos!$A$2:$D$24,MATCH(A54,productos!$A$2:$A$24,0),2)</f>
        <v>queso semiduro</v>
      </c>
      <c r="C54" s="3">
        <v>2</v>
      </c>
      <c r="D54" t="str">
        <f>VLOOKUP(C54,rubros!$A$2:$D$4,2)</f>
        <v>lacteos</v>
      </c>
      <c r="E54" t="s">
        <v>56</v>
      </c>
      <c r="F54" s="3">
        <v>11</v>
      </c>
      <c r="G54" t="str">
        <f>VLOOKUP(F54,marcas!$A$2:$D$19,2)</f>
        <v>CAPROLET</v>
      </c>
      <c r="H54" s="3" t="str">
        <f t="shared" si="0"/>
        <v>14p11m</v>
      </c>
      <c r="I54">
        <v>104</v>
      </c>
      <c r="J54">
        <f>I54+I54*VLOOKUP(C54,rubros!$A$2:$D$4,3)</f>
        <v>118.56</v>
      </c>
    </row>
    <row r="55" spans="1:10">
      <c r="A55" s="3">
        <v>15</v>
      </c>
      <c r="B55" t="str">
        <f>INDEX(productos!$A$2:$D$24,MATCH(A55,productos!$A$2:$A$24,0),2)</f>
        <v>manteca</v>
      </c>
      <c r="C55" s="3">
        <v>2</v>
      </c>
      <c r="D55" t="str">
        <f>VLOOKUP(C55,rubros!$A$2:$D$4,2)</f>
        <v>lacteos</v>
      </c>
      <c r="E55" t="s">
        <v>56</v>
      </c>
      <c r="F55" s="3">
        <v>10</v>
      </c>
      <c r="G55" t="str">
        <f>VLOOKUP(F55,marcas!$A$2:$D$19,2)</f>
        <v>CONAPROLE</v>
      </c>
      <c r="H55" s="3" t="str">
        <f t="shared" si="0"/>
        <v>15p10m</v>
      </c>
      <c r="I55">
        <v>122</v>
      </c>
      <c r="J55">
        <f>I55+I55*VLOOKUP(C55,rubros!$A$2:$D$4,3)</f>
        <v>139.08000000000001</v>
      </c>
    </row>
    <row r="56" spans="1:10">
      <c r="A56" s="3">
        <v>15</v>
      </c>
      <c r="B56" t="str">
        <f>INDEX(productos!$A$2:$D$24,MATCH(A56,productos!$A$2:$A$24,0),2)</f>
        <v>manteca</v>
      </c>
      <c r="C56" s="3">
        <v>2</v>
      </c>
      <c r="D56" t="str">
        <f>VLOOKUP(C56,rubros!$A$2:$D$4,2)</f>
        <v>lacteos</v>
      </c>
      <c r="E56" t="s">
        <v>56</v>
      </c>
      <c r="F56" s="3">
        <v>9</v>
      </c>
      <c r="G56" t="str">
        <f>VLOOKUP(F56,marcas!$A$2:$D$19,2)</f>
        <v>PARMALAT</v>
      </c>
      <c r="H56" s="3" t="str">
        <f t="shared" si="0"/>
        <v>15p9m</v>
      </c>
      <c r="I56">
        <v>119</v>
      </c>
      <c r="J56">
        <f>I56+I56*VLOOKUP(C56,rubros!$A$2:$D$4,3)</f>
        <v>135.66</v>
      </c>
    </row>
    <row r="57" spans="1:10">
      <c r="A57" s="3">
        <v>16</v>
      </c>
      <c r="B57" t="str">
        <f>INDEX(productos!$A$2:$D$24,MATCH(A57,productos!$A$2:$A$24,0),2)</f>
        <v>leche descremada</v>
      </c>
      <c r="C57" s="3">
        <v>2</v>
      </c>
      <c r="D57" t="str">
        <f>VLOOKUP(C57,rubros!$A$2:$D$4,2)</f>
        <v>lacteos</v>
      </c>
      <c r="E57" t="s">
        <v>57</v>
      </c>
      <c r="F57" s="3">
        <v>9</v>
      </c>
      <c r="G57" t="str">
        <f>VLOOKUP(F57,marcas!$A$2:$D$19,2)</f>
        <v>PARMALAT</v>
      </c>
      <c r="H57" s="3" t="str">
        <f t="shared" si="0"/>
        <v>16p9m</v>
      </c>
      <c r="I57">
        <v>12</v>
      </c>
      <c r="J57">
        <f>I57+I57*VLOOKUP(C57,rubros!$A$2:$D$4,3)</f>
        <v>13.68</v>
      </c>
    </row>
    <row r="58" spans="1:10">
      <c r="A58" s="3">
        <v>16</v>
      </c>
      <c r="B58" t="str">
        <f>INDEX(productos!$A$2:$D$24,MATCH(A58,productos!$A$2:$A$24,0),2)</f>
        <v>leche descremada</v>
      </c>
      <c r="C58" s="3">
        <v>2</v>
      </c>
      <c r="D58" t="str">
        <f>VLOOKUP(C58,rubros!$A$2:$D$4,2)</f>
        <v>lacteos</v>
      </c>
      <c r="E58" t="s">
        <v>57</v>
      </c>
      <c r="F58" s="3">
        <v>10</v>
      </c>
      <c r="G58" t="str">
        <f>VLOOKUP(F58,marcas!$A$2:$D$19,2)</f>
        <v>CONAPROLE</v>
      </c>
      <c r="H58" s="3" t="str">
        <f t="shared" si="0"/>
        <v>16p10m</v>
      </c>
      <c r="I58">
        <v>11.5</v>
      </c>
      <c r="J58">
        <f>I58+I58*VLOOKUP(C58,rubros!$A$2:$D$4,3)</f>
        <v>13.11</v>
      </c>
    </row>
    <row r="59" spans="1:10">
      <c r="A59" s="3">
        <v>16</v>
      </c>
      <c r="B59" t="str">
        <f>INDEX(productos!$A$2:$D$24,MATCH(A59,productos!$A$2:$A$24,0),2)</f>
        <v>leche descremada</v>
      </c>
      <c r="C59" s="3">
        <v>2</v>
      </c>
      <c r="D59" t="str">
        <f>VLOOKUP(C59,rubros!$A$2:$D$4,2)</f>
        <v>lacteos</v>
      </c>
      <c r="E59" t="s">
        <v>57</v>
      </c>
      <c r="F59" s="3">
        <v>11</v>
      </c>
      <c r="G59" t="str">
        <f>VLOOKUP(F59,marcas!$A$2:$D$19,2)</f>
        <v>CAPROLET</v>
      </c>
      <c r="H59" s="3" t="str">
        <f t="shared" si="0"/>
        <v>16p11m</v>
      </c>
      <c r="I59">
        <v>11</v>
      </c>
      <c r="J59">
        <f>I59+I59*VLOOKUP(C59,rubros!$A$2:$D$4,3)</f>
        <v>12.54</v>
      </c>
    </row>
    <row r="60" spans="1:10">
      <c r="A60" s="3">
        <v>16</v>
      </c>
      <c r="B60" t="str">
        <f>INDEX(productos!$A$2:$D$24,MATCH(A60,productos!$A$2:$A$24,0),2)</f>
        <v>leche descremada</v>
      </c>
      <c r="C60" s="3">
        <v>2</v>
      </c>
      <c r="D60" t="str">
        <f>VLOOKUP(C60,rubros!$A$2:$D$4,2)</f>
        <v>lacteos</v>
      </c>
      <c r="E60" t="s">
        <v>57</v>
      </c>
      <c r="F60" s="3">
        <v>14</v>
      </c>
      <c r="G60" t="str">
        <f>VLOOKUP(F60,marcas!$A$2:$D$19,2)</f>
        <v>LACTERIA</v>
      </c>
      <c r="H60" s="3" t="str">
        <f t="shared" si="0"/>
        <v>16p14m</v>
      </c>
      <c r="I60">
        <v>10.5</v>
      </c>
      <c r="J60">
        <f>I60+I60*VLOOKUP(C60,rubros!$A$2:$D$4,3)</f>
        <v>11.97</v>
      </c>
    </row>
    <row r="61" spans="1:10">
      <c r="A61" s="3">
        <v>17</v>
      </c>
      <c r="B61" t="str">
        <f>INDEX(productos!$A$2:$D$24,MATCH(A61,productos!$A$2:$A$24,0),2)</f>
        <v>pan viena</v>
      </c>
      <c r="C61" s="3">
        <v>3</v>
      </c>
      <c r="D61" t="str">
        <f>VLOOKUP(C61,rubros!$A$2:$D$4,2)</f>
        <v>panaderia</v>
      </c>
      <c r="E61" t="s">
        <v>58</v>
      </c>
      <c r="F61" s="3">
        <v>17</v>
      </c>
      <c r="G61" t="str">
        <f>VLOOKUP(F61,marcas!$A$2:$D$19,2)</f>
        <v>FARGO</v>
      </c>
      <c r="H61" s="3" t="str">
        <f t="shared" si="0"/>
        <v>17p17m</v>
      </c>
      <c r="I61">
        <v>4</v>
      </c>
      <c r="J61">
        <f>I61+I61*VLOOKUP(C61,rubros!$A$2:$D$4,3)</f>
        <v>4</v>
      </c>
    </row>
    <row r="62" spans="1:10">
      <c r="A62" s="3">
        <v>17</v>
      </c>
      <c r="B62" t="str">
        <f>INDEX(productos!$A$2:$D$24,MATCH(A62,productos!$A$2:$A$24,0),2)</f>
        <v>pan viena</v>
      </c>
      <c r="C62" s="3">
        <v>3</v>
      </c>
      <c r="D62" t="str">
        <f>VLOOKUP(C62,rubros!$A$2:$D$4,2)</f>
        <v>panaderia</v>
      </c>
      <c r="E62" t="s">
        <v>58</v>
      </c>
      <c r="F62" s="3">
        <v>16</v>
      </c>
      <c r="G62" t="str">
        <f>VLOOKUP(F62,marcas!$A$2:$D$19,2)</f>
        <v>MALLORQUINA</v>
      </c>
      <c r="H62" s="3" t="str">
        <f t="shared" si="0"/>
        <v>17p16m</v>
      </c>
      <c r="I62">
        <v>4</v>
      </c>
      <c r="J62">
        <f>I62+I62*VLOOKUP(C62,rubros!$A$2:$D$4,3)</f>
        <v>4</v>
      </c>
    </row>
    <row r="63" spans="1:10">
      <c r="A63" s="3">
        <v>17</v>
      </c>
      <c r="B63" t="str">
        <f>INDEX(productos!$A$2:$D$24,MATCH(A63,productos!$A$2:$A$24,0),2)</f>
        <v>pan viena</v>
      </c>
      <c r="C63" s="3">
        <v>3</v>
      </c>
      <c r="D63" t="str">
        <f>VLOOKUP(C63,rubros!$A$2:$D$4,2)</f>
        <v>panaderia</v>
      </c>
      <c r="E63" t="s">
        <v>58</v>
      </c>
      <c r="F63" s="3">
        <v>15</v>
      </c>
      <c r="G63" t="str">
        <f>VLOOKUP(F63,marcas!$A$2:$D$19,2)</f>
        <v>SORCHANTES</v>
      </c>
      <c r="H63" s="3" t="str">
        <f t="shared" si="0"/>
        <v>17p15m</v>
      </c>
      <c r="I63">
        <v>5</v>
      </c>
      <c r="J63">
        <f>I63+I63*VLOOKUP(C63,rubros!$A$2:$D$4,3)</f>
        <v>5</v>
      </c>
    </row>
    <row r="64" spans="1:10">
      <c r="A64" s="3">
        <v>18</v>
      </c>
      <c r="B64" t="str">
        <f>INDEX(productos!$A$2:$D$24,MATCH(A64,productos!$A$2:$A$24,0),2)</f>
        <v>pan sandwich</v>
      </c>
      <c r="C64" s="3">
        <v>3</v>
      </c>
      <c r="D64" t="str">
        <f>VLOOKUP(C64,rubros!$A$2:$D$4,2)</f>
        <v>panaderia</v>
      </c>
      <c r="E64" t="s">
        <v>56</v>
      </c>
      <c r="F64" s="3">
        <v>15</v>
      </c>
      <c r="G64" t="str">
        <f>VLOOKUP(F64,marcas!$A$2:$D$19,2)</f>
        <v>SORCHANTES</v>
      </c>
      <c r="H64" s="3" t="str">
        <f t="shared" si="0"/>
        <v>18p15m</v>
      </c>
      <c r="I64">
        <v>40</v>
      </c>
      <c r="J64">
        <f>I64+I64*VLOOKUP(C64,rubros!$A$2:$D$4,3)</f>
        <v>40</v>
      </c>
    </row>
    <row r="65" spans="1:10">
      <c r="A65" s="3">
        <v>18</v>
      </c>
      <c r="B65" t="str">
        <f>INDEX(productos!$A$2:$D$24,MATCH(A65,productos!$A$2:$A$24,0),2)</f>
        <v>pan sandwich</v>
      </c>
      <c r="C65" s="3">
        <v>3</v>
      </c>
      <c r="D65" t="str">
        <f>VLOOKUP(C65,rubros!$A$2:$D$4,2)</f>
        <v>panaderia</v>
      </c>
      <c r="E65" t="s">
        <v>56</v>
      </c>
      <c r="F65" s="3">
        <v>17</v>
      </c>
      <c r="G65" t="str">
        <f>VLOOKUP(F65,marcas!$A$2:$D$19,2)</f>
        <v>FARGO</v>
      </c>
      <c r="H65" s="3" t="str">
        <f t="shared" si="0"/>
        <v>18p17m</v>
      </c>
      <c r="I65">
        <v>45</v>
      </c>
      <c r="J65">
        <f>I65+I65*VLOOKUP(C65,rubros!$A$2:$D$4,3)</f>
        <v>45</v>
      </c>
    </row>
    <row r="66" spans="1:10">
      <c r="A66" s="3">
        <v>18</v>
      </c>
      <c r="B66" t="str">
        <f>INDEX(productos!$A$2:$D$24,MATCH(A66,productos!$A$2:$A$24,0),2)</f>
        <v>pan sandwich</v>
      </c>
      <c r="C66" s="3">
        <v>3</v>
      </c>
      <c r="D66" t="str">
        <f>VLOOKUP(C66,rubros!$A$2:$D$4,2)</f>
        <v>panaderia</v>
      </c>
      <c r="E66" t="s">
        <v>56</v>
      </c>
      <c r="F66" s="3">
        <v>16</v>
      </c>
      <c r="G66" t="str">
        <f>VLOOKUP(F66,marcas!$A$2:$D$19,2)</f>
        <v>MALLORQUINA</v>
      </c>
      <c r="H66" s="3" t="str">
        <f t="shared" si="0"/>
        <v>18p16m</v>
      </c>
      <c r="I66">
        <v>42</v>
      </c>
      <c r="J66">
        <f>I66+I66*VLOOKUP(C66,rubros!$A$2:$D$4,3)</f>
        <v>42</v>
      </c>
    </row>
    <row r="67" spans="1:10">
      <c r="A67" s="3">
        <v>19</v>
      </c>
      <c r="B67" t="str">
        <f>INDEX(productos!$A$2:$D$24,MATCH(A67,productos!$A$2:$A$24,0),2)</f>
        <v>pan felipe</v>
      </c>
      <c r="C67" s="3">
        <v>3</v>
      </c>
      <c r="D67" t="str">
        <f>VLOOKUP(C67,rubros!$A$2:$D$4,2)</f>
        <v>panaderia</v>
      </c>
      <c r="E67" t="s">
        <v>56</v>
      </c>
      <c r="F67" s="3">
        <v>18</v>
      </c>
      <c r="G67" t="str">
        <f>VLOOKUP(F67,marcas!$A$2:$D$19,2)</f>
        <v>PROPIO</v>
      </c>
      <c r="H67" s="3" t="str">
        <f t="shared" ref="H67:H73" si="1">CONCATENATE(A67,"p",F67,"m")</f>
        <v>19p18m</v>
      </c>
      <c r="I67">
        <v>35</v>
      </c>
      <c r="J67">
        <f>I67+I67*VLOOKUP(C67,rubros!$A$2:$D$4,3)</f>
        <v>35</v>
      </c>
    </row>
    <row r="68" spans="1:10">
      <c r="A68" s="3">
        <v>20</v>
      </c>
      <c r="B68" t="str">
        <f>INDEX(productos!$A$2:$D$24,MATCH(A68,productos!$A$2:$A$24,0),2)</f>
        <v>pan manteca</v>
      </c>
      <c r="C68" s="3">
        <v>3</v>
      </c>
      <c r="D68" t="str">
        <f>VLOOKUP(C68,rubros!$A$2:$D$4,2)</f>
        <v>panaderia</v>
      </c>
      <c r="E68" t="s">
        <v>56</v>
      </c>
      <c r="F68" s="3">
        <v>18</v>
      </c>
      <c r="G68" t="str">
        <f>VLOOKUP(F68,marcas!$A$2:$D$19,2)</f>
        <v>PROPIO</v>
      </c>
      <c r="H68" s="3" t="str">
        <f t="shared" si="1"/>
        <v>20p18m</v>
      </c>
      <c r="I68">
        <v>45</v>
      </c>
      <c r="J68">
        <f>I68+I68*VLOOKUP(C68,rubros!$A$2:$D$4,3)</f>
        <v>45</v>
      </c>
    </row>
    <row r="69" spans="1:10">
      <c r="A69" s="3">
        <v>21</v>
      </c>
      <c r="B69" t="str">
        <f>INDEX(productos!$A$2:$D$24,MATCH(A69,productos!$A$2:$A$24,0),2)</f>
        <v>pan tortuga</v>
      </c>
      <c r="C69" s="3">
        <v>3</v>
      </c>
      <c r="D69" t="str">
        <f>VLOOKUP(C69,rubros!$A$2:$D$4,2)</f>
        <v>panaderia</v>
      </c>
      <c r="E69" t="s">
        <v>58</v>
      </c>
      <c r="F69" s="3">
        <v>17</v>
      </c>
      <c r="G69" t="str">
        <f>VLOOKUP(F69,marcas!$A$2:$D$19,2)</f>
        <v>FARGO</v>
      </c>
      <c r="H69" s="3" t="str">
        <f t="shared" si="1"/>
        <v>21p17m</v>
      </c>
      <c r="I69">
        <v>4</v>
      </c>
      <c r="J69">
        <f>I69+I69*VLOOKUP(C69,rubros!$A$2:$D$4,3)</f>
        <v>4</v>
      </c>
    </row>
    <row r="70" spans="1:10">
      <c r="A70" s="3">
        <v>21</v>
      </c>
      <c r="B70" t="str">
        <f>INDEX(productos!$A$2:$D$24,MATCH(A70,productos!$A$2:$A$24,0),2)</f>
        <v>pan tortuga</v>
      </c>
      <c r="C70" s="3">
        <v>3</v>
      </c>
      <c r="D70" t="str">
        <f>VLOOKUP(C70,rubros!$A$2:$D$4,2)</f>
        <v>panaderia</v>
      </c>
      <c r="E70" t="s">
        <v>58</v>
      </c>
      <c r="F70" s="3">
        <v>16</v>
      </c>
      <c r="G70" t="str">
        <f>VLOOKUP(F70,marcas!$A$2:$D$19,2)</f>
        <v>MALLORQUINA</v>
      </c>
      <c r="H70" s="3" t="str">
        <f t="shared" si="1"/>
        <v>21p16m</v>
      </c>
      <c r="I70">
        <v>4</v>
      </c>
      <c r="J70">
        <f>I70+I70*VLOOKUP(C70,rubros!$A$2:$D$4,3)</f>
        <v>4</v>
      </c>
    </row>
    <row r="71" spans="1:10">
      <c r="A71" s="3">
        <v>21</v>
      </c>
      <c r="B71" t="str">
        <f>INDEX(productos!$A$2:$D$24,MATCH(A71,productos!$A$2:$A$24,0),2)</f>
        <v>pan tortuga</v>
      </c>
      <c r="C71" s="3">
        <v>3</v>
      </c>
      <c r="D71" t="str">
        <f>VLOOKUP(C71,rubros!$A$2:$D$4,2)</f>
        <v>panaderia</v>
      </c>
      <c r="E71" t="s">
        <v>58</v>
      </c>
      <c r="F71" s="3">
        <v>15</v>
      </c>
      <c r="G71" t="str">
        <f>VLOOKUP(F71,marcas!$A$2:$D$19,2)</f>
        <v>SORCHANTES</v>
      </c>
      <c r="H71" s="3" t="str">
        <f t="shared" si="1"/>
        <v>21p15m</v>
      </c>
      <c r="I71">
        <v>5</v>
      </c>
      <c r="J71">
        <f>I71+I71*VLOOKUP(C71,rubros!$A$2:$D$4,3)</f>
        <v>5</v>
      </c>
    </row>
    <row r="72" spans="1:10">
      <c r="A72" s="3">
        <v>22</v>
      </c>
      <c r="B72" t="str">
        <f>INDEX(productos!$A$2:$D$24,MATCH(A72,productos!$A$2:$A$24,0),2)</f>
        <v>pan flauta</v>
      </c>
      <c r="C72" s="3">
        <v>3</v>
      </c>
      <c r="D72" t="str">
        <f>VLOOKUP(C72,rubros!$A$2:$D$4,2)</f>
        <v>panaderia</v>
      </c>
      <c r="E72" t="s">
        <v>56</v>
      </c>
      <c r="F72" s="3">
        <v>18</v>
      </c>
      <c r="G72" t="str">
        <f>VLOOKUP(F72,marcas!$A$2:$D$19,2)</f>
        <v>PROPIO</v>
      </c>
      <c r="H72" s="3" t="str">
        <f t="shared" si="1"/>
        <v>22p18m</v>
      </c>
      <c r="I72">
        <v>30</v>
      </c>
      <c r="J72">
        <f>I72+I72*VLOOKUP(C72,rubros!$A$2:$D$4,3)</f>
        <v>30</v>
      </c>
    </row>
    <row r="73" spans="1:10">
      <c r="A73" s="3">
        <v>23</v>
      </c>
      <c r="B73" t="str">
        <f>INDEX(productos!$A$2:$D$24,MATCH(A73,productos!$A$2:$A$24,0),2)</f>
        <v>pan porteño</v>
      </c>
      <c r="C73" s="3">
        <v>3</v>
      </c>
      <c r="D73" t="str">
        <f>VLOOKUP(C73,rubros!$A$2:$D$4,2)</f>
        <v>panaderia</v>
      </c>
      <c r="E73" t="s">
        <v>56</v>
      </c>
      <c r="F73" s="3">
        <v>18</v>
      </c>
      <c r="G73" t="str">
        <f>VLOOKUP(F73,marcas!$A$2:$D$19,2)</f>
        <v>PROPIO</v>
      </c>
      <c r="H73" s="3" t="str">
        <f t="shared" si="1"/>
        <v>23p18m</v>
      </c>
      <c r="I73">
        <v>32</v>
      </c>
      <c r="J73">
        <f>I73+I73*VLOOKUP(C73,rubros!$A$2:$D$4,3)</f>
        <v>32</v>
      </c>
    </row>
  </sheetData>
  <pageMargins left="0.19685039370078741" right="0.19685039370078741" top="0.19685039370078741" bottom="0.19685039370078741" header="0" footer="0"/>
  <pageSetup paperSize="261" scale="80" orientation="portrait" horizontalDpi="180" verticalDpi="18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tabSelected="1" topLeftCell="G1" workbookViewId="0" xr3:uid="{F9CF3CF3-643B-5BE6-8B46-32C596A47465}">
      <selection activeCell="N7" sqref="N7"/>
    </sheetView>
  </sheetViews>
  <sheetFormatPr defaultRowHeight="12.75"/>
  <cols>
    <col min="1" max="1" width="11.42578125" customWidth="1"/>
    <col min="2" max="2" width="18.42578125" style="3" customWidth="1"/>
    <col min="3" max="3" width="13.7109375" style="3" customWidth="1"/>
    <col min="4" max="4" width="17.140625" style="3" customWidth="1"/>
    <col min="5" max="5" width="13.7109375" style="5" customWidth="1"/>
    <col min="6" max="11" width="13.28515625" style="4" customWidth="1"/>
    <col min="12" max="14" width="18.42578125" customWidth="1"/>
    <col min="15" max="256" width="11.42578125" customWidth="1"/>
  </cols>
  <sheetData>
    <row r="1" spans="1:14" s="3" customFormat="1">
      <c r="A1" s="3" t="s">
        <v>59</v>
      </c>
      <c r="B1" s="3" t="s">
        <v>0</v>
      </c>
      <c r="C1" s="3" t="s">
        <v>32</v>
      </c>
      <c r="D1" s="3" t="s">
        <v>53</v>
      </c>
      <c r="E1" s="6" t="s">
        <v>60</v>
      </c>
      <c r="F1" s="3" t="s">
        <v>61</v>
      </c>
      <c r="G1" s="3" t="s">
        <v>54</v>
      </c>
      <c r="H1" s="3" t="s">
        <v>28</v>
      </c>
      <c r="I1" s="3" t="s">
        <v>62</v>
      </c>
      <c r="J1" s="3" t="s">
        <v>27</v>
      </c>
      <c r="K1" s="3" t="s">
        <v>63</v>
      </c>
      <c r="L1" s="3" t="s">
        <v>1</v>
      </c>
      <c r="M1" s="3" t="s">
        <v>3</v>
      </c>
      <c r="N1" s="3" t="s">
        <v>33</v>
      </c>
    </row>
    <row r="2" spans="1:14">
      <c r="A2" s="2">
        <v>38416</v>
      </c>
      <c r="B2" s="3">
        <v>4</v>
      </c>
      <c r="C2" s="3">
        <v>2</v>
      </c>
      <c r="D2" s="3" t="str">
        <f>CONCATENATE(B2,"p",C2,"m")</f>
        <v>4p2m</v>
      </c>
      <c r="E2" s="5">
        <v>0.3</v>
      </c>
      <c r="F2" s="5">
        <f>INDEX(precios!$A$2:$J$73,MATCH(D2,precios!$H$2:$H$73,0),9)</f>
        <v>165</v>
      </c>
      <c r="G2" s="5">
        <f>E2*F2</f>
        <v>49.5</v>
      </c>
      <c r="H2" s="5">
        <f>IF(OR(AND(M2="fiambres",WEEKDAY(2)),AND(M2="lacteos",WEEKDAY(4)),AND(M2="panaderia",WEEKDAY(6))),INDEX(rubros!$A$2:$D$4,MATCH(M2,rubros!$B$2:$B$4,0),4)*G2,0)</f>
        <v>4.95</v>
      </c>
      <c r="I2" s="5">
        <f>G2+H2</f>
        <v>54.45</v>
      </c>
      <c r="J2" s="5">
        <f>INDEX(rubros!$A$2:$D$4,MATCH(M2,rubros!$B$2:$B$4,0),3)*G4</f>
        <v>5.5200000000000005</v>
      </c>
      <c r="K2" s="5">
        <f>I2+J2</f>
        <v>59.970000000000006</v>
      </c>
      <c r="L2" t="str">
        <f>VLOOKUP(B2,productos!$A$2:$D$24,2)</f>
        <v>paleta</v>
      </c>
      <c r="M2" t="str">
        <f>VLOOKUP(INDEX(precios!$A$2:$J$73,MATCH(D2,precios!$H$2:$H$73,0),3),rubros!$A$2:$D$4,2)</f>
        <v>fiambres</v>
      </c>
      <c r="N2" t="str">
        <f>VLOOKUP(B2,marcas!$A$2:$D$19,2)</f>
        <v>SARUBI</v>
      </c>
    </row>
    <row r="3" spans="1:14">
      <c r="A3" s="2">
        <v>38416</v>
      </c>
      <c r="B3" s="3">
        <v>8</v>
      </c>
      <c r="C3" s="3">
        <v>9</v>
      </c>
      <c r="D3" s="3" t="str">
        <f t="shared" ref="D3:D47" si="0">CONCATENATE(B3,"p",C3,"m")</f>
        <v>8p9m</v>
      </c>
      <c r="E3" s="5">
        <v>0.3</v>
      </c>
      <c r="F3" s="5">
        <f>INDEX(precios!$A$2:$J$73,MATCH(D3,precios!$H$2:$H$73,0),9)</f>
        <v>79</v>
      </c>
      <c r="G3" s="5">
        <f t="shared" ref="G3:G47" si="1">E3*F3</f>
        <v>23.7</v>
      </c>
      <c r="H3" s="5">
        <f>IF(OR(AND(M3="fiambres",WEEKDAY(2)),AND(M3="lacteos",WEEKDAY(4)),AND(M3="panaderia",WEEKDAY(6))),INDEX(rubros!$A$2:$D$4,MATCH(M3,rubros!$B$2:$B$4,0),4)*G3,0)</f>
        <v>1.1850000000000001</v>
      </c>
      <c r="I3" s="5">
        <f t="shared" ref="I3:I47" si="2">G3+H3</f>
        <v>24.884999999999998</v>
      </c>
      <c r="J3" s="5">
        <f>INDEX(rubros!$A$2:$D$4,MATCH(M3,rubros!$B$2:$B$4,0),3)*G5</f>
        <v>2.2400000000000002</v>
      </c>
      <c r="K3" s="5">
        <f t="shared" ref="K3:K47" si="3">I3+J3</f>
        <v>27.125</v>
      </c>
      <c r="L3" t="str">
        <f>VLOOKUP(B3,productos!$A$2:$D$24,2)</f>
        <v>paleta</v>
      </c>
      <c r="M3" t="str">
        <f>VLOOKUP(INDEX(precios!$A$2:$J$73,MATCH(D3,precios!$H$2:$H$73,0),3),rubros!$A$2:$D$4,2)</f>
        <v>lacteos</v>
      </c>
      <c r="N3" t="str">
        <f>VLOOKUP(B3,marcas!$A$2:$D$19,2)</f>
        <v>SHNECK</v>
      </c>
    </row>
    <row r="4" spans="1:14">
      <c r="A4" s="2">
        <v>38416</v>
      </c>
      <c r="B4" s="3">
        <v>11</v>
      </c>
      <c r="C4" s="3">
        <v>11</v>
      </c>
      <c r="D4" s="3" t="str">
        <f t="shared" si="0"/>
        <v>11p11m</v>
      </c>
      <c r="E4" s="5">
        <v>2</v>
      </c>
      <c r="F4" s="5">
        <f>INDEX(precios!$A$2:$J$73,MATCH(D4,precios!$H$2:$H$73,0),9)</f>
        <v>12</v>
      </c>
      <c r="G4" s="5">
        <f t="shared" si="1"/>
        <v>24</v>
      </c>
      <c r="H4" s="5">
        <f>IF(OR(AND(M4="fiambres",WEEKDAY(2)),AND(M4="lacteos",WEEKDAY(4)),AND(M4="panaderia",WEEKDAY(6))),INDEX(rubros!$A$2:$D$4,MATCH(M4,rubros!$B$2:$B$4,0),4)*G4,0)</f>
        <v>1.2000000000000002</v>
      </c>
      <c r="I4" s="5">
        <f t="shared" si="2"/>
        <v>25.2</v>
      </c>
      <c r="J4" s="5">
        <f>INDEX(rubros!$A$2:$D$4,MATCH(M4,rubros!$B$2:$B$4,0),3)*G6</f>
        <v>1.0920000000000003</v>
      </c>
      <c r="K4" s="5">
        <f t="shared" si="3"/>
        <v>26.291999999999998</v>
      </c>
      <c r="L4" t="str">
        <f>VLOOKUP(B4,productos!$A$2:$D$24,2)</f>
        <v>paleta</v>
      </c>
      <c r="M4" t="str">
        <f>VLOOKUP(INDEX(precios!$A$2:$J$73,MATCH(D4,precios!$H$2:$H$73,0),3),rubros!$A$2:$D$4,2)</f>
        <v>lacteos</v>
      </c>
      <c r="N4" t="str">
        <f>VLOOKUP(B4,marcas!$A$2:$D$19,2)</f>
        <v>CAPROLET</v>
      </c>
    </row>
    <row r="5" spans="1:14">
      <c r="A5" s="2">
        <v>38416</v>
      </c>
      <c r="B5" s="3">
        <v>23</v>
      </c>
      <c r="C5" s="3">
        <v>18</v>
      </c>
      <c r="D5" s="3" t="str">
        <f t="shared" si="0"/>
        <v>23p18m</v>
      </c>
      <c r="E5" s="5">
        <v>0.5</v>
      </c>
      <c r="F5" s="5">
        <f>INDEX(precios!$A$2:$J$73,MATCH(D5,precios!$H$2:$H$73,0),9)</f>
        <v>32</v>
      </c>
      <c r="G5" s="5">
        <f t="shared" si="1"/>
        <v>16</v>
      </c>
      <c r="H5" s="5">
        <f>IF(OR(AND(M5="fiambres",WEEKDAY(2)),AND(M5="lacteos",WEEKDAY(4)),AND(M5="panaderia",WEEKDAY(6))),INDEX(rubros!$A$2:$D$4,MATCH(M5,rubros!$B$2:$B$4,0),4)*G5,0)</f>
        <v>2.4</v>
      </c>
      <c r="I5" s="5">
        <f t="shared" si="2"/>
        <v>18.399999999999999</v>
      </c>
      <c r="J5" s="5">
        <f>INDEX(rubros!$A$2:$D$4,MATCH(M5,rubros!$B$2:$B$4,0),3)*G7</f>
        <v>0</v>
      </c>
      <c r="K5" s="5">
        <f t="shared" si="3"/>
        <v>18.399999999999999</v>
      </c>
      <c r="L5" t="str">
        <f>VLOOKUP(B5,productos!$A$2:$D$24,2)</f>
        <v>yogurt</v>
      </c>
      <c r="M5" t="str">
        <f>VLOOKUP(INDEX(precios!$A$2:$J$73,MATCH(D5,precios!$H$2:$H$73,0),3),rubros!$A$2:$D$4,2)</f>
        <v>panaderia</v>
      </c>
      <c r="N5" t="str">
        <f>VLOOKUP(B5,marcas!$A$2:$D$19,2)</f>
        <v>PROPIO</v>
      </c>
    </row>
    <row r="6" spans="1:14">
      <c r="A6" s="2">
        <v>38414</v>
      </c>
      <c r="B6" s="3">
        <v>5</v>
      </c>
      <c r="C6" s="3">
        <v>6</v>
      </c>
      <c r="D6" s="3" t="str">
        <f t="shared" si="0"/>
        <v>5p6m</v>
      </c>
      <c r="E6" s="5">
        <v>0.1</v>
      </c>
      <c r="F6" s="5">
        <f>INDEX(precios!$A$2:$J$73,MATCH(D6,precios!$H$2:$H$73,0),9)</f>
        <v>78</v>
      </c>
      <c r="G6" s="5">
        <f t="shared" si="1"/>
        <v>7.8000000000000007</v>
      </c>
      <c r="H6" s="5">
        <f>IF(OR(AND(M6="fiambres",WEEKDAY(2)),AND(M6="lacteos",WEEKDAY(4)),AND(M6="panaderia",WEEKDAY(6))),INDEX(rubros!$A$2:$D$4,MATCH(M6,rubros!$B$2:$B$4,0),4)*G6,0)</f>
        <v>0.78000000000000014</v>
      </c>
      <c r="I6" s="5">
        <f t="shared" si="2"/>
        <v>8.58</v>
      </c>
      <c r="J6" s="5">
        <f>INDEX(rubros!$A$2:$D$4,MATCH(M6,rubros!$B$2:$B$4,0),3)*G8</f>
        <v>25.76</v>
      </c>
      <c r="K6" s="5">
        <f t="shared" si="3"/>
        <v>34.340000000000003</v>
      </c>
      <c r="L6" t="str">
        <f>VLOOKUP(B6,productos!$A$2:$D$24,2)</f>
        <v>paleta</v>
      </c>
      <c r="M6" t="str">
        <f>VLOOKUP(INDEX(precios!$A$2:$J$73,MATCH(D6,precios!$H$2:$H$73,0),3),rubros!$A$2:$D$4,2)</f>
        <v>fiambres</v>
      </c>
      <c r="N6" t="str">
        <f>VLOOKUP(B6,marcas!$A$2:$D$19,2)</f>
        <v>RAUSA</v>
      </c>
    </row>
    <row r="7" spans="1:14">
      <c r="A7" s="2">
        <v>38414</v>
      </c>
      <c r="B7" s="3">
        <v>4</v>
      </c>
      <c r="C7" s="3">
        <v>8</v>
      </c>
      <c r="D7" s="3" t="str">
        <f t="shared" si="0"/>
        <v>4p8m</v>
      </c>
      <c r="E7" s="5">
        <v>0.3</v>
      </c>
      <c r="F7" s="5">
        <f>INDEX(precios!$A$2:$J$73,MATCH(D7,precios!$H$2:$H$73,0),9)</f>
        <v>121</v>
      </c>
      <c r="G7" s="5">
        <f t="shared" si="1"/>
        <v>36.299999999999997</v>
      </c>
      <c r="H7" s="5">
        <f>IF(OR(AND(M7="fiambres",WEEKDAY(2)),AND(M7="lacteos",WEEKDAY(4)),AND(M7="panaderia",WEEKDAY(6))),INDEX(rubros!$A$2:$D$4,MATCH(M7,rubros!$B$2:$B$4,0),4)*G7,0)</f>
        <v>3.63</v>
      </c>
      <c r="I7" s="5">
        <f t="shared" si="2"/>
        <v>39.93</v>
      </c>
      <c r="J7" s="5">
        <f>INDEX(rubros!$A$2:$D$4,MATCH(M7,rubros!$B$2:$B$4,0),3)*G9</f>
        <v>3.45</v>
      </c>
      <c r="K7" s="5">
        <f t="shared" si="3"/>
        <v>43.38</v>
      </c>
      <c r="L7" t="str">
        <f>VLOOKUP(B7,productos!$A$2:$D$24,2)</f>
        <v>paleta</v>
      </c>
      <c r="M7" t="str">
        <f>VLOOKUP(INDEX(precios!$A$2:$J$73,MATCH(D7,precios!$H$2:$H$73,0),3),rubros!$A$2:$D$4,2)</f>
        <v>fiambres</v>
      </c>
      <c r="N7" t="str">
        <f>VLOOKUP(B7,marcas!$A$2:$D$19,2)</f>
        <v>SARUBI</v>
      </c>
    </row>
    <row r="8" spans="1:14">
      <c r="A8" s="2">
        <v>38414</v>
      </c>
      <c r="B8" s="3">
        <v>13</v>
      </c>
      <c r="C8" s="3">
        <v>11</v>
      </c>
      <c r="D8" s="3" t="str">
        <f t="shared" si="0"/>
        <v>13p11m</v>
      </c>
      <c r="E8" s="5">
        <v>1</v>
      </c>
      <c r="F8" s="5">
        <f>INDEX(precios!$A$2:$J$73,MATCH(D8,precios!$H$2:$H$73,0),9)</f>
        <v>112</v>
      </c>
      <c r="G8" s="5">
        <f t="shared" si="1"/>
        <v>112</v>
      </c>
      <c r="H8" s="5">
        <f>IF(OR(AND(M8="fiambres",WEEKDAY(2)),AND(M8="lacteos",WEEKDAY(4)),AND(M8="panaderia",WEEKDAY(6))),INDEX(rubros!$A$2:$D$4,MATCH(M8,rubros!$B$2:$B$4,0),4)*G8,0)</f>
        <v>5.6000000000000005</v>
      </c>
      <c r="I8" s="5">
        <f t="shared" si="2"/>
        <v>117.6</v>
      </c>
      <c r="J8" s="5">
        <f>INDEX(rubros!$A$2:$D$4,MATCH(M8,rubros!$B$2:$B$4,0),3)*G10</f>
        <v>3.3600000000000003</v>
      </c>
      <c r="K8" s="5">
        <f t="shared" si="3"/>
        <v>120.96</v>
      </c>
      <c r="L8" t="str">
        <f>VLOOKUP(B8,productos!$A$2:$D$24,2)</f>
        <v>paleta</v>
      </c>
      <c r="M8" t="str">
        <f>VLOOKUP(INDEX(precios!$A$2:$J$73,MATCH(D8,precios!$H$2:$H$73,0),3),rubros!$A$2:$D$4,2)</f>
        <v>lacteos</v>
      </c>
      <c r="N8" t="str">
        <f>VLOOKUP(B8,marcas!$A$2:$D$19,2)</f>
        <v>MILKY</v>
      </c>
    </row>
    <row r="9" spans="1:14">
      <c r="A9" s="2">
        <v>38414</v>
      </c>
      <c r="B9" s="3">
        <v>22</v>
      </c>
      <c r="C9" s="3">
        <v>18</v>
      </c>
      <c r="D9" s="3" t="str">
        <f t="shared" si="0"/>
        <v>22p18m</v>
      </c>
      <c r="E9" s="5">
        <v>0.5</v>
      </c>
      <c r="F9" s="5">
        <f>INDEX(precios!$A$2:$J$73,MATCH(D9,precios!$H$2:$H$73,0),9)</f>
        <v>30</v>
      </c>
      <c r="G9" s="5">
        <f t="shared" si="1"/>
        <v>15</v>
      </c>
      <c r="H9" s="5">
        <f>IF(OR(AND(M9="fiambres",WEEKDAY(2)),AND(M9="lacteos",WEEKDAY(4)),AND(M9="panaderia",WEEKDAY(6))),INDEX(rubros!$A$2:$D$4,MATCH(M9,rubros!$B$2:$B$4,0),4)*G9,0)</f>
        <v>2.25</v>
      </c>
      <c r="I9" s="5">
        <f t="shared" si="2"/>
        <v>17.25</v>
      </c>
      <c r="J9" s="5">
        <f>INDEX(rubros!$A$2:$D$4,MATCH(M9,rubros!$B$2:$B$4,0),3)*G11</f>
        <v>0</v>
      </c>
      <c r="K9" s="5">
        <f t="shared" si="3"/>
        <v>17.25</v>
      </c>
      <c r="L9" t="str">
        <f>VLOOKUP(B9,productos!$A$2:$D$24,2)</f>
        <v>yogurt</v>
      </c>
      <c r="M9" t="str">
        <f>VLOOKUP(INDEX(precios!$A$2:$J$73,MATCH(D9,precios!$H$2:$H$73,0),3),rubros!$A$2:$D$4,2)</f>
        <v>panaderia</v>
      </c>
      <c r="N9" t="str">
        <f>VLOOKUP(B9,marcas!$A$2:$D$19,2)</f>
        <v>PROPIO</v>
      </c>
    </row>
    <row r="10" spans="1:14">
      <c r="A10" s="2">
        <v>38417</v>
      </c>
      <c r="B10" s="3">
        <v>17</v>
      </c>
      <c r="C10" s="3">
        <v>17</v>
      </c>
      <c r="D10" s="3" t="str">
        <f t="shared" si="0"/>
        <v>17p17m</v>
      </c>
      <c r="E10" s="5">
        <v>6</v>
      </c>
      <c r="F10" s="5">
        <f>INDEX(precios!$A$2:$J$73,MATCH(D10,precios!$H$2:$H$73,0),9)</f>
        <v>4</v>
      </c>
      <c r="G10" s="5">
        <f t="shared" si="1"/>
        <v>24</v>
      </c>
      <c r="H10" s="5">
        <f>IF(OR(AND(M10="fiambres",WEEKDAY(2)),AND(M10="lacteos",WEEKDAY(4)),AND(M10="panaderia",WEEKDAY(6))),INDEX(rubros!$A$2:$D$4,MATCH(M10,rubros!$B$2:$B$4,0),4)*G10,0)</f>
        <v>3.5999999999999996</v>
      </c>
      <c r="I10" s="5">
        <f t="shared" si="2"/>
        <v>27.6</v>
      </c>
      <c r="J10" s="5">
        <f>INDEX(rubros!$A$2:$D$4,MATCH(M10,rubros!$B$2:$B$4,0),3)*G12</f>
        <v>0</v>
      </c>
      <c r="K10" s="5">
        <f t="shared" si="3"/>
        <v>27.6</v>
      </c>
      <c r="L10" t="str">
        <f>VLOOKUP(B10,productos!$A$2:$D$24,2)</f>
        <v>paleta</v>
      </c>
      <c r="M10" t="str">
        <f>VLOOKUP(INDEX(precios!$A$2:$J$73,MATCH(D10,precios!$H$2:$H$73,0),3),rubros!$A$2:$D$4,2)</f>
        <v>panaderia</v>
      </c>
      <c r="N10" t="str">
        <f>VLOOKUP(B10,marcas!$A$2:$D$19,2)</f>
        <v>FARGO</v>
      </c>
    </row>
    <row r="11" spans="1:14">
      <c r="A11" s="2">
        <v>38417</v>
      </c>
      <c r="B11" s="3">
        <v>11</v>
      </c>
      <c r="C11" s="3">
        <v>14</v>
      </c>
      <c r="D11" s="3" t="str">
        <f t="shared" si="0"/>
        <v>11p14m</v>
      </c>
      <c r="E11" s="5">
        <v>3</v>
      </c>
      <c r="F11" s="5">
        <f>INDEX(precios!$A$2:$J$73,MATCH(D11,precios!$H$2:$H$73,0),9)</f>
        <v>10</v>
      </c>
      <c r="G11" s="5">
        <f t="shared" si="1"/>
        <v>30</v>
      </c>
      <c r="H11" s="5">
        <f>IF(OR(AND(M11="fiambres",WEEKDAY(2)),AND(M11="lacteos",WEEKDAY(4)),AND(M11="panaderia",WEEKDAY(6))),INDEX(rubros!$A$2:$D$4,MATCH(M11,rubros!$B$2:$B$4,0),4)*G11,0)</f>
        <v>1.5</v>
      </c>
      <c r="I11" s="5">
        <f t="shared" si="2"/>
        <v>31.5</v>
      </c>
      <c r="J11" s="5">
        <f>INDEX(rubros!$A$2:$D$4,MATCH(M11,rubros!$B$2:$B$4,0),3)*G13</f>
        <v>4.2</v>
      </c>
      <c r="K11" s="5">
        <f t="shared" si="3"/>
        <v>35.700000000000003</v>
      </c>
      <c r="L11" t="str">
        <f>VLOOKUP(B11,productos!$A$2:$D$24,2)</f>
        <v>paleta</v>
      </c>
      <c r="M11" t="str">
        <f>VLOOKUP(INDEX(precios!$A$2:$J$73,MATCH(D11,precios!$H$2:$H$73,0),3),rubros!$A$2:$D$4,2)</f>
        <v>lacteos</v>
      </c>
      <c r="N11" t="str">
        <f>VLOOKUP(B11,marcas!$A$2:$D$19,2)</f>
        <v>CAPROLET</v>
      </c>
    </row>
    <row r="12" spans="1:14">
      <c r="A12" s="2">
        <v>38417</v>
      </c>
      <c r="B12" s="3">
        <v>8</v>
      </c>
      <c r="C12" s="3">
        <v>10</v>
      </c>
      <c r="D12" s="3" t="str">
        <f t="shared" si="0"/>
        <v>8p10m</v>
      </c>
      <c r="E12" s="5">
        <v>0.4</v>
      </c>
      <c r="F12" s="5">
        <f>INDEX(precios!$A$2:$J$73,MATCH(D12,precios!$H$2:$H$73,0),9)</f>
        <v>81</v>
      </c>
      <c r="G12" s="5">
        <f t="shared" si="1"/>
        <v>32.4</v>
      </c>
      <c r="H12" s="5">
        <f>IF(OR(AND(M12="fiambres",WEEKDAY(2)),AND(M12="lacteos",WEEKDAY(4)),AND(M12="panaderia",WEEKDAY(6))),INDEX(rubros!$A$2:$D$4,MATCH(M12,rubros!$B$2:$B$4,0),4)*G12,0)</f>
        <v>1.62</v>
      </c>
      <c r="I12" s="5">
        <f t="shared" si="2"/>
        <v>34.019999999999996</v>
      </c>
      <c r="J12" s="5">
        <f>INDEX(rubros!$A$2:$D$4,MATCH(M12,rubros!$B$2:$B$4,0),3)*G14</f>
        <v>20.384</v>
      </c>
      <c r="K12" s="5">
        <f t="shared" si="3"/>
        <v>54.403999999999996</v>
      </c>
      <c r="L12" t="str">
        <f>VLOOKUP(B12,productos!$A$2:$D$24,2)</f>
        <v>paleta</v>
      </c>
      <c r="M12" t="str">
        <f>VLOOKUP(INDEX(precios!$A$2:$J$73,MATCH(D12,precios!$H$2:$H$73,0),3),rubros!$A$2:$D$4,2)</f>
        <v>lacteos</v>
      </c>
      <c r="N12" t="str">
        <f>VLOOKUP(B12,marcas!$A$2:$D$19,2)</f>
        <v>SHNECK</v>
      </c>
    </row>
    <row r="13" spans="1:14">
      <c r="A13" s="2">
        <v>38417</v>
      </c>
      <c r="B13" s="3">
        <v>12</v>
      </c>
      <c r="C13" s="3">
        <v>13</v>
      </c>
      <c r="D13" s="3" t="str">
        <f t="shared" si="0"/>
        <v>12p13m</v>
      </c>
      <c r="E13" s="5">
        <v>2</v>
      </c>
      <c r="F13" s="5">
        <f>INDEX(precios!$A$2:$J$73,MATCH(D13,precios!$H$2:$H$73,0),9)</f>
        <v>15</v>
      </c>
      <c r="G13" s="5">
        <f t="shared" si="1"/>
        <v>30</v>
      </c>
      <c r="H13" s="5">
        <f>IF(OR(AND(M13="fiambres",WEEKDAY(2)),AND(M13="lacteos",WEEKDAY(4)),AND(M13="panaderia",WEEKDAY(6))),INDEX(rubros!$A$2:$D$4,MATCH(M13,rubros!$B$2:$B$4,0),4)*G13,0)</f>
        <v>1.5</v>
      </c>
      <c r="I13" s="5">
        <f t="shared" si="2"/>
        <v>31.5</v>
      </c>
      <c r="J13" s="5">
        <f>INDEX(rubros!$A$2:$D$4,MATCH(M13,rubros!$B$2:$B$4,0),3)*G15</f>
        <v>3.6400000000000006</v>
      </c>
      <c r="K13" s="5">
        <f t="shared" si="3"/>
        <v>35.14</v>
      </c>
      <c r="L13" t="str">
        <f>VLOOKUP(B13,productos!$A$2:$D$24,2)</f>
        <v>paleta</v>
      </c>
      <c r="M13" t="str">
        <f>VLOOKUP(INDEX(precios!$A$2:$J$73,MATCH(D13,precios!$H$2:$H$73,0),3),rubros!$A$2:$D$4,2)</f>
        <v>lacteos</v>
      </c>
      <c r="N13" t="str">
        <f>VLOOKUP(B13,marcas!$A$2:$D$19,2)</f>
        <v>CLALDY</v>
      </c>
    </row>
    <row r="14" spans="1:14">
      <c r="A14" s="2">
        <v>38417</v>
      </c>
      <c r="B14" s="3">
        <v>13</v>
      </c>
      <c r="C14" s="3">
        <v>11</v>
      </c>
      <c r="D14" s="3" t="str">
        <f t="shared" si="0"/>
        <v>13p11m</v>
      </c>
      <c r="E14" s="5">
        <v>1.3</v>
      </c>
      <c r="F14" s="5">
        <f>INDEX(precios!$A$2:$J$73,MATCH(D14,precios!$H$2:$H$73,0),9)</f>
        <v>112</v>
      </c>
      <c r="G14" s="5">
        <f t="shared" si="1"/>
        <v>145.6</v>
      </c>
      <c r="H14" s="5">
        <f>IF(OR(AND(M14="fiambres",WEEKDAY(2)),AND(M14="lacteos",WEEKDAY(4)),AND(M14="panaderia",WEEKDAY(6))),INDEX(rubros!$A$2:$D$4,MATCH(M14,rubros!$B$2:$B$4,0),4)*G14,0)</f>
        <v>7.28</v>
      </c>
      <c r="I14" s="5">
        <f t="shared" si="2"/>
        <v>152.88</v>
      </c>
      <c r="J14" s="5">
        <f>INDEX(rubros!$A$2:$D$4,MATCH(M14,rubros!$B$2:$B$4,0),3)*G16</f>
        <v>3.444</v>
      </c>
      <c r="K14" s="5">
        <f t="shared" si="3"/>
        <v>156.32399999999998</v>
      </c>
      <c r="L14" t="str">
        <f>VLOOKUP(B14,productos!$A$2:$D$24,2)</f>
        <v>paleta</v>
      </c>
      <c r="M14" t="str">
        <f>VLOOKUP(INDEX(precios!$A$2:$J$73,MATCH(D14,precios!$H$2:$H$73,0),3),rubros!$A$2:$D$4,2)</f>
        <v>lacteos</v>
      </c>
      <c r="N14" t="str">
        <f>VLOOKUP(B14,marcas!$A$2:$D$19,2)</f>
        <v>MILKY</v>
      </c>
    </row>
    <row r="15" spans="1:14">
      <c r="A15" s="2">
        <v>38417</v>
      </c>
      <c r="B15" s="3">
        <v>3</v>
      </c>
      <c r="C15" s="3">
        <v>4</v>
      </c>
      <c r="D15" s="3" t="str">
        <f t="shared" si="0"/>
        <v>3p4m</v>
      </c>
      <c r="E15" s="5">
        <v>0.25</v>
      </c>
      <c r="F15" s="5">
        <f>INDEX(precios!$A$2:$J$73,MATCH(D15,precios!$H$2:$H$73,0),9)</f>
        <v>104</v>
      </c>
      <c r="G15" s="5">
        <f t="shared" si="1"/>
        <v>26</v>
      </c>
      <c r="H15" s="5">
        <f>IF(OR(AND(M15="fiambres",WEEKDAY(2)),AND(M15="lacteos",WEEKDAY(4)),AND(M15="panaderia",WEEKDAY(6))),INDEX(rubros!$A$2:$D$4,MATCH(M15,rubros!$B$2:$B$4,0),4)*G15,0)</f>
        <v>2.6</v>
      </c>
      <c r="I15" s="5">
        <f t="shared" si="2"/>
        <v>28.6</v>
      </c>
      <c r="J15" s="5">
        <f>INDEX(rubros!$A$2:$D$4,MATCH(M15,rubros!$B$2:$B$4,0),3)*G17</f>
        <v>4.0250000000000004</v>
      </c>
      <c r="K15" s="5">
        <f t="shared" si="3"/>
        <v>32.625</v>
      </c>
      <c r="L15" t="str">
        <f>VLOOKUP(B15,productos!$A$2:$D$24,2)</f>
        <v>paleta</v>
      </c>
      <c r="M15" t="str">
        <f>VLOOKUP(INDEX(precios!$A$2:$J$73,MATCH(D15,precios!$H$2:$H$73,0),3),rubros!$A$2:$D$4,2)</f>
        <v>fiambres</v>
      </c>
      <c r="N15" t="str">
        <f>VLOOKUP(B15,marcas!$A$2:$D$19,2)</f>
        <v>OTTONELO</v>
      </c>
    </row>
    <row r="16" spans="1:14">
      <c r="A16" s="2">
        <v>38418</v>
      </c>
      <c r="B16" s="3">
        <v>5</v>
      </c>
      <c r="C16" s="3">
        <v>7</v>
      </c>
      <c r="D16" s="3" t="str">
        <f t="shared" si="0"/>
        <v>5p7m</v>
      </c>
      <c r="E16" s="5">
        <v>0.3</v>
      </c>
      <c r="F16" s="5">
        <f>INDEX(precios!$A$2:$J$73,MATCH(D16,precios!$H$2:$H$73,0),9)</f>
        <v>82</v>
      </c>
      <c r="G16" s="5">
        <f t="shared" si="1"/>
        <v>24.599999999999998</v>
      </c>
      <c r="H16" s="5">
        <f>IF(OR(AND(M16="fiambres",WEEKDAY(2)),AND(M16="lacteos",WEEKDAY(4)),AND(M16="panaderia",WEEKDAY(6))),INDEX(rubros!$A$2:$D$4,MATCH(M16,rubros!$B$2:$B$4,0),4)*G16,0)</f>
        <v>2.46</v>
      </c>
      <c r="I16" s="5">
        <f t="shared" si="2"/>
        <v>27.06</v>
      </c>
      <c r="J16" s="5">
        <f>INDEX(rubros!$A$2:$D$4,MATCH(M16,rubros!$B$2:$B$4,0),3)*G18</f>
        <v>7.5900000000000007</v>
      </c>
      <c r="K16" s="5">
        <f t="shared" si="3"/>
        <v>34.65</v>
      </c>
      <c r="L16" t="str">
        <f>VLOOKUP(B16,productos!$A$2:$D$24,2)</f>
        <v>paleta</v>
      </c>
      <c r="M16" t="str">
        <f>VLOOKUP(INDEX(precios!$A$2:$J$73,MATCH(D16,precios!$H$2:$H$73,0),3),rubros!$A$2:$D$4,2)</f>
        <v>fiambres</v>
      </c>
      <c r="N16" t="str">
        <f>VLOOKUP(B16,marcas!$A$2:$D$19,2)</f>
        <v>RAUSA</v>
      </c>
    </row>
    <row r="17" spans="1:14">
      <c r="A17" s="2">
        <v>38418</v>
      </c>
      <c r="B17" s="3">
        <v>19</v>
      </c>
      <c r="C17" s="3">
        <v>18</v>
      </c>
      <c r="D17" s="3" t="str">
        <f t="shared" si="0"/>
        <v>19p18m</v>
      </c>
      <c r="E17" s="5">
        <v>0.5</v>
      </c>
      <c r="F17" s="5">
        <f>INDEX(precios!$A$2:$J$73,MATCH(D17,precios!$H$2:$H$73,0),9)</f>
        <v>35</v>
      </c>
      <c r="G17" s="5">
        <f t="shared" si="1"/>
        <v>17.5</v>
      </c>
      <c r="H17" s="5">
        <f>IF(OR(AND(M17="fiambres",WEEKDAY(2)),AND(M17="lacteos",WEEKDAY(4)),AND(M17="panaderia",WEEKDAY(6))),INDEX(rubros!$A$2:$D$4,MATCH(M17,rubros!$B$2:$B$4,0),4)*G17,0)</f>
        <v>2.625</v>
      </c>
      <c r="I17" s="5">
        <f t="shared" si="2"/>
        <v>20.125</v>
      </c>
      <c r="J17" s="5">
        <f>INDEX(rubros!$A$2:$D$4,MATCH(M17,rubros!$B$2:$B$4,0),3)*G19</f>
        <v>0</v>
      </c>
      <c r="K17" s="5">
        <f t="shared" si="3"/>
        <v>20.125</v>
      </c>
      <c r="L17" t="str">
        <f>VLOOKUP(B17,productos!$A$2:$D$24,2)</f>
        <v>yogurt</v>
      </c>
      <c r="M17" t="str">
        <f>VLOOKUP(INDEX(precios!$A$2:$J$73,MATCH(D17,precios!$H$2:$H$73,0),3),rubros!$A$2:$D$4,2)</f>
        <v>panaderia</v>
      </c>
      <c r="N17" t="str">
        <f>VLOOKUP(B17,marcas!$A$2:$D$19,2)</f>
        <v>PROPIO</v>
      </c>
    </row>
    <row r="18" spans="1:14">
      <c r="A18" s="2">
        <v>38418</v>
      </c>
      <c r="B18" s="3">
        <v>16</v>
      </c>
      <c r="C18" s="3">
        <v>11</v>
      </c>
      <c r="D18" s="3" t="str">
        <f t="shared" si="0"/>
        <v>16p11m</v>
      </c>
      <c r="E18" s="5">
        <v>3</v>
      </c>
      <c r="F18" s="5">
        <f>INDEX(precios!$A$2:$J$73,MATCH(D18,precios!$H$2:$H$73,0),9)</f>
        <v>11</v>
      </c>
      <c r="G18" s="5">
        <f t="shared" si="1"/>
        <v>33</v>
      </c>
      <c r="H18" s="5">
        <f>IF(OR(AND(M18="fiambres",WEEKDAY(2)),AND(M18="lacteos",WEEKDAY(4)),AND(M18="panaderia",WEEKDAY(6))),INDEX(rubros!$A$2:$D$4,MATCH(M18,rubros!$B$2:$B$4,0),4)*G18,0)</f>
        <v>1.6500000000000001</v>
      </c>
      <c r="I18" s="5">
        <f t="shared" si="2"/>
        <v>34.65</v>
      </c>
      <c r="J18" s="5">
        <f>INDEX(rubros!$A$2:$D$4,MATCH(M18,rubros!$B$2:$B$4,0),3)*G20</f>
        <v>15.120000000000001</v>
      </c>
      <c r="K18" s="5">
        <f t="shared" si="3"/>
        <v>49.769999999999996</v>
      </c>
      <c r="L18" t="str">
        <f>VLOOKUP(B18,productos!$A$2:$D$24,2)</f>
        <v>paleta</v>
      </c>
      <c r="M18" t="str">
        <f>VLOOKUP(INDEX(precios!$A$2:$J$73,MATCH(D18,precios!$H$2:$H$73,0),3),rubros!$A$2:$D$4,2)</f>
        <v>lacteos</v>
      </c>
      <c r="N18" t="str">
        <f>VLOOKUP(B18,marcas!$A$2:$D$19,2)</f>
        <v>MALLORQUINA</v>
      </c>
    </row>
    <row r="19" spans="1:14">
      <c r="A19" s="2">
        <v>38418</v>
      </c>
      <c r="B19" s="3">
        <v>14</v>
      </c>
      <c r="C19" s="3">
        <v>12</v>
      </c>
      <c r="D19" s="3" t="str">
        <f t="shared" si="0"/>
        <v>14p12m</v>
      </c>
      <c r="E19" s="5">
        <v>0.8</v>
      </c>
      <c r="F19" s="5">
        <f>INDEX(precios!$A$2:$J$73,MATCH(D19,precios!$H$2:$H$73,0),9)</f>
        <v>70.5</v>
      </c>
      <c r="G19" s="5">
        <f t="shared" si="1"/>
        <v>56.400000000000006</v>
      </c>
      <c r="H19" s="5">
        <f>IF(OR(AND(M19="fiambres",WEEKDAY(2)),AND(M19="lacteos",WEEKDAY(4)),AND(M19="panaderia",WEEKDAY(6))),INDEX(rubros!$A$2:$D$4,MATCH(M19,rubros!$B$2:$B$4,0),4)*G19,0)</f>
        <v>2.8200000000000003</v>
      </c>
      <c r="I19" s="5">
        <f t="shared" si="2"/>
        <v>59.220000000000006</v>
      </c>
      <c r="J19" s="5">
        <f>INDEX(rubros!$A$2:$D$4,MATCH(M19,rubros!$B$2:$B$4,0),3)*G21</f>
        <v>9.072000000000001</v>
      </c>
      <c r="K19" s="5">
        <f t="shared" si="3"/>
        <v>68.292000000000002</v>
      </c>
      <c r="L19" t="str">
        <f>VLOOKUP(B19,productos!$A$2:$D$24,2)</f>
        <v>paleta</v>
      </c>
      <c r="M19" t="str">
        <f>VLOOKUP(INDEX(precios!$A$2:$J$73,MATCH(D19,precios!$H$2:$H$73,0),3),rubros!$A$2:$D$4,2)</f>
        <v>lacteos</v>
      </c>
      <c r="N19" t="str">
        <f>VLOOKUP(B19,marcas!$A$2:$D$19,2)</f>
        <v>LACTERIA</v>
      </c>
    </row>
    <row r="20" spans="1:14">
      <c r="A20" s="2">
        <v>38418</v>
      </c>
      <c r="B20" s="3">
        <v>6</v>
      </c>
      <c r="C20" s="3">
        <v>8</v>
      </c>
      <c r="D20" s="3" t="str">
        <f t="shared" si="0"/>
        <v>6p8m</v>
      </c>
      <c r="E20" s="5">
        <v>1.5</v>
      </c>
      <c r="F20" s="5">
        <f>INDEX(precios!$A$2:$J$73,MATCH(D20,precios!$H$2:$H$73,0),9)</f>
        <v>72</v>
      </c>
      <c r="G20" s="5">
        <f t="shared" si="1"/>
        <v>108</v>
      </c>
      <c r="H20" s="5">
        <f>IF(OR(AND(M20="fiambres",WEEKDAY(2)),AND(M20="lacteos",WEEKDAY(4)),AND(M20="panaderia",WEEKDAY(6))),INDEX(rubros!$A$2:$D$4,MATCH(M20,rubros!$B$2:$B$4,0),4)*G20,0)</f>
        <v>10.8</v>
      </c>
      <c r="I20" s="5">
        <f t="shared" si="2"/>
        <v>118.8</v>
      </c>
      <c r="J20" s="5">
        <f>INDEX(rubros!$A$2:$D$4,MATCH(M20,rubros!$B$2:$B$4,0),3)*G22</f>
        <v>3.105</v>
      </c>
      <c r="K20" s="5">
        <f t="shared" si="3"/>
        <v>121.905</v>
      </c>
      <c r="L20" t="str">
        <f>VLOOKUP(B20,productos!$A$2:$D$24,2)</f>
        <v>paleta</v>
      </c>
      <c r="M20" t="str">
        <f>VLOOKUP(INDEX(precios!$A$2:$J$73,MATCH(D20,precios!$H$2:$H$73,0),3),rubros!$A$2:$D$4,2)</f>
        <v>fiambres</v>
      </c>
      <c r="N20" t="str">
        <f>VLOOKUP(B20,marcas!$A$2:$D$19,2)</f>
        <v>CENTENARIO</v>
      </c>
    </row>
    <row r="21" spans="1:14">
      <c r="A21" s="2">
        <v>38418</v>
      </c>
      <c r="B21" s="3">
        <v>4</v>
      </c>
      <c r="C21" s="3">
        <v>3</v>
      </c>
      <c r="D21" s="3" t="str">
        <f t="shared" si="0"/>
        <v>4p3m</v>
      </c>
      <c r="E21" s="5">
        <v>0.4</v>
      </c>
      <c r="F21" s="5">
        <f>INDEX(precios!$A$2:$J$73,MATCH(D21,precios!$H$2:$H$73,0),9)</f>
        <v>162</v>
      </c>
      <c r="G21" s="5">
        <f t="shared" si="1"/>
        <v>64.8</v>
      </c>
      <c r="H21" s="5">
        <f>IF(OR(AND(M21="fiambres",WEEKDAY(2)),AND(M21="lacteos",WEEKDAY(4)),AND(M21="panaderia",WEEKDAY(6))),INDEX(rubros!$A$2:$D$4,MATCH(M21,rubros!$B$2:$B$4,0),4)*G21,0)</f>
        <v>6.48</v>
      </c>
      <c r="I21" s="5">
        <f t="shared" si="2"/>
        <v>71.28</v>
      </c>
      <c r="J21" s="5">
        <f>INDEX(rubros!$A$2:$D$4,MATCH(M21,rubros!$B$2:$B$4,0),3)*G23</f>
        <v>10.005000000000001</v>
      </c>
      <c r="K21" s="5">
        <f t="shared" si="3"/>
        <v>81.284999999999997</v>
      </c>
      <c r="L21" t="str">
        <f>VLOOKUP(B21,productos!$A$2:$D$24,2)</f>
        <v>paleta</v>
      </c>
      <c r="M21" t="str">
        <f>VLOOKUP(INDEX(precios!$A$2:$J$73,MATCH(D21,precios!$H$2:$H$73,0),3),rubros!$A$2:$D$4,2)</f>
        <v>fiambres</v>
      </c>
      <c r="N21" t="str">
        <f>VLOOKUP(B21,marcas!$A$2:$D$19,2)</f>
        <v>SARUBI</v>
      </c>
    </row>
    <row r="22" spans="1:14">
      <c r="A22" s="2">
        <v>38418</v>
      </c>
      <c r="B22" s="3">
        <v>18</v>
      </c>
      <c r="C22" s="3">
        <v>17</v>
      </c>
      <c r="D22" s="3" t="str">
        <f t="shared" si="0"/>
        <v>18p17m</v>
      </c>
      <c r="E22" s="5">
        <v>0.3</v>
      </c>
      <c r="F22" s="5">
        <f>INDEX(precios!$A$2:$J$73,MATCH(D22,precios!$H$2:$H$73,0),9)</f>
        <v>45</v>
      </c>
      <c r="G22" s="5">
        <f t="shared" si="1"/>
        <v>13.5</v>
      </c>
      <c r="H22" s="5">
        <f>IF(OR(AND(M22="fiambres",WEEKDAY(2)),AND(M22="lacteos",WEEKDAY(4)),AND(M22="panaderia",WEEKDAY(6))),INDEX(rubros!$A$2:$D$4,MATCH(M22,rubros!$B$2:$B$4,0),4)*G22,0)</f>
        <v>2.0249999999999999</v>
      </c>
      <c r="I22" s="5">
        <f t="shared" si="2"/>
        <v>15.525</v>
      </c>
      <c r="J22" s="5">
        <f>INDEX(rubros!$A$2:$D$4,MATCH(M22,rubros!$B$2:$B$4,0),3)*G24</f>
        <v>0</v>
      </c>
      <c r="K22" s="5">
        <f t="shared" si="3"/>
        <v>15.525</v>
      </c>
      <c r="L22" t="str">
        <f>VLOOKUP(B22,productos!$A$2:$D$24,2)</f>
        <v>pan sandwich</v>
      </c>
      <c r="M22" t="str">
        <f>VLOOKUP(INDEX(precios!$A$2:$J$73,MATCH(D22,precios!$H$2:$H$73,0),3),rubros!$A$2:$D$4,2)</f>
        <v>panaderia</v>
      </c>
      <c r="N22" t="str">
        <f>VLOOKUP(B22,marcas!$A$2:$D$19,2)</f>
        <v>PROPIO</v>
      </c>
    </row>
    <row r="23" spans="1:14">
      <c r="A23" s="2">
        <v>38418</v>
      </c>
      <c r="B23" s="3">
        <v>1</v>
      </c>
      <c r="C23" s="3">
        <v>2</v>
      </c>
      <c r="D23" s="3" t="str">
        <f t="shared" si="0"/>
        <v>1p2m</v>
      </c>
      <c r="E23" s="5">
        <v>0.3</v>
      </c>
      <c r="F23" s="5">
        <f>INDEX(precios!$A$2:$J$73,MATCH(D23,precios!$H$2:$H$73,0),9)</f>
        <v>145</v>
      </c>
      <c r="G23" s="5">
        <f t="shared" si="1"/>
        <v>43.5</v>
      </c>
      <c r="H23" s="5">
        <f>IF(OR(AND(M23="fiambres",WEEKDAY(2)),AND(M23="lacteos",WEEKDAY(4)),AND(M23="panaderia",WEEKDAY(6))),INDEX(rubros!$A$2:$D$4,MATCH(M23,rubros!$B$2:$B$4,0),4)*G23,0)</f>
        <v>4.3500000000000005</v>
      </c>
      <c r="I23" s="5">
        <f t="shared" si="2"/>
        <v>47.85</v>
      </c>
      <c r="J23" s="5">
        <f>INDEX(rubros!$A$2:$D$4,MATCH(M23,rubros!$B$2:$B$4,0),3)*G25</f>
        <v>5.0600000000000005</v>
      </c>
      <c r="K23" s="5">
        <f t="shared" si="3"/>
        <v>52.910000000000004</v>
      </c>
      <c r="L23" t="e">
        <f>VLOOKUP(B23,productos!$A$2:$D$24,2)</f>
        <v>#N/A</v>
      </c>
      <c r="M23" t="str">
        <f>VLOOKUP(INDEX(precios!$A$2:$J$73,MATCH(D23,precios!$H$2:$H$73,0),3),rubros!$A$2:$D$4,2)</f>
        <v>fiambres</v>
      </c>
      <c r="N23" t="str">
        <f>VLOOKUP(B23,marcas!$A$2:$D$19,2)</f>
        <v>CONSTANCIA</v>
      </c>
    </row>
    <row r="24" spans="1:14">
      <c r="A24" s="2">
        <v>38418</v>
      </c>
      <c r="B24" s="3">
        <v>3</v>
      </c>
      <c r="C24" s="3">
        <v>7</v>
      </c>
      <c r="D24" s="3" t="str">
        <f t="shared" si="0"/>
        <v>3p7m</v>
      </c>
      <c r="E24" s="5">
        <v>0.7</v>
      </c>
      <c r="F24" s="5">
        <f>INDEX(precios!$A$2:$J$73,MATCH(D24,precios!$H$2:$H$73,0),9)</f>
        <v>78</v>
      </c>
      <c r="G24" s="5">
        <f t="shared" si="1"/>
        <v>54.599999999999994</v>
      </c>
      <c r="H24" s="5">
        <f>IF(OR(AND(M24="fiambres",WEEKDAY(2)),AND(M24="lacteos",WEEKDAY(4)),AND(M24="panaderia",WEEKDAY(6))),INDEX(rubros!$A$2:$D$4,MATCH(M24,rubros!$B$2:$B$4,0),4)*G24,0)</f>
        <v>5.46</v>
      </c>
      <c r="I24" s="5">
        <f t="shared" si="2"/>
        <v>60.059999999999995</v>
      </c>
      <c r="J24" s="5">
        <f>INDEX(rubros!$A$2:$D$4,MATCH(M24,rubros!$B$2:$B$4,0),3)*G26</f>
        <v>2.6910000000000003</v>
      </c>
      <c r="K24" s="5">
        <f t="shared" si="3"/>
        <v>62.750999999999998</v>
      </c>
      <c r="L24" t="str">
        <f>VLOOKUP(B24,productos!$A$2:$D$24,2)</f>
        <v>paleta</v>
      </c>
      <c r="M24" t="str">
        <f>VLOOKUP(INDEX(precios!$A$2:$J$73,MATCH(D24,precios!$H$2:$H$73,0),3),rubros!$A$2:$D$4,2)</f>
        <v>fiambres</v>
      </c>
      <c r="N24" t="str">
        <f>VLOOKUP(B24,marcas!$A$2:$D$19,2)</f>
        <v>OTTONELO</v>
      </c>
    </row>
    <row r="25" spans="1:14">
      <c r="A25" s="2">
        <v>38418</v>
      </c>
      <c r="B25" s="3">
        <v>9</v>
      </c>
      <c r="C25" s="3">
        <v>9</v>
      </c>
      <c r="D25" s="3" t="str">
        <f t="shared" si="0"/>
        <v>9p9m</v>
      </c>
      <c r="E25" s="5">
        <v>0.2</v>
      </c>
      <c r="F25" s="5">
        <f>INDEX(precios!$A$2:$J$73,MATCH(D25,precios!$H$2:$H$73,0),9)</f>
        <v>110</v>
      </c>
      <c r="G25" s="5">
        <f t="shared" si="1"/>
        <v>22</v>
      </c>
      <c r="H25" s="5">
        <f>IF(OR(AND(M25="fiambres",WEEKDAY(2)),AND(M25="lacteos",WEEKDAY(4)),AND(M25="panaderia",WEEKDAY(6))),INDEX(rubros!$A$2:$D$4,MATCH(M25,rubros!$B$2:$B$4,0),4)*G25,0)</f>
        <v>1.1000000000000001</v>
      </c>
      <c r="I25" s="5">
        <f t="shared" si="2"/>
        <v>23.1</v>
      </c>
      <c r="J25" s="5">
        <f>INDEX(rubros!$A$2:$D$4,MATCH(M25,rubros!$B$2:$B$4,0),3)*G27</f>
        <v>5.32</v>
      </c>
      <c r="K25" s="5">
        <f t="shared" si="3"/>
        <v>28.42</v>
      </c>
      <c r="L25" t="str">
        <f>VLOOKUP(B25,productos!$A$2:$D$24,2)</f>
        <v>paleta</v>
      </c>
      <c r="M25" t="str">
        <f>VLOOKUP(INDEX(precios!$A$2:$J$73,MATCH(D25,precios!$H$2:$H$73,0),3),rubros!$A$2:$D$4,2)</f>
        <v>lacteos</v>
      </c>
      <c r="N25" t="str">
        <f>VLOOKUP(B25,marcas!$A$2:$D$19,2)</f>
        <v>PARMALAT</v>
      </c>
    </row>
    <row r="26" spans="1:14">
      <c r="A26" s="2">
        <v>38415</v>
      </c>
      <c r="B26" s="3">
        <v>10</v>
      </c>
      <c r="C26" s="3">
        <v>11</v>
      </c>
      <c r="D26" s="3" t="str">
        <f t="shared" si="0"/>
        <v>10p11m</v>
      </c>
      <c r="E26" s="5">
        <v>0.1</v>
      </c>
      <c r="F26" s="5">
        <f>INDEX(precios!$A$2:$J$73,MATCH(D26,precios!$H$2:$H$73,0),9)</f>
        <v>117</v>
      </c>
      <c r="G26" s="5">
        <f t="shared" si="1"/>
        <v>11.700000000000001</v>
      </c>
      <c r="H26" s="5">
        <f>IF(OR(AND(M26="fiambres",WEEKDAY(2)),AND(M26="lacteos",WEEKDAY(4)),AND(M26="panaderia",WEEKDAY(6))),INDEX(rubros!$A$2:$D$4,MATCH(M26,rubros!$B$2:$B$4,0),4)*G26,0)</f>
        <v>0.58500000000000008</v>
      </c>
      <c r="I26" s="5">
        <f t="shared" si="2"/>
        <v>12.285000000000002</v>
      </c>
      <c r="J26" s="5">
        <f>INDEX(rubros!$A$2:$D$4,MATCH(M26,rubros!$B$2:$B$4,0),3)*G28</f>
        <v>2.5200000000000005</v>
      </c>
      <c r="K26" s="5">
        <f t="shared" si="3"/>
        <v>14.805000000000003</v>
      </c>
      <c r="L26" t="str">
        <f>VLOOKUP(B26,productos!$A$2:$D$24,2)</f>
        <v>paleta</v>
      </c>
      <c r="M26" t="str">
        <f>VLOOKUP(INDEX(precios!$A$2:$J$73,MATCH(D26,precios!$H$2:$H$73,0),3),rubros!$A$2:$D$4,2)</f>
        <v>lacteos</v>
      </c>
      <c r="N26" t="str">
        <f>VLOOKUP(B26,marcas!$A$2:$D$19,2)</f>
        <v>CONAPROLE</v>
      </c>
    </row>
    <row r="27" spans="1:14">
      <c r="A27" s="2">
        <v>38415</v>
      </c>
      <c r="B27" s="3">
        <v>12</v>
      </c>
      <c r="C27" s="3">
        <v>14</v>
      </c>
      <c r="D27" s="3" t="str">
        <f t="shared" si="0"/>
        <v>12p14m</v>
      </c>
      <c r="E27" s="5">
        <v>2</v>
      </c>
      <c r="F27" s="5">
        <f>INDEX(precios!$A$2:$J$73,MATCH(D27,precios!$H$2:$H$73,0),9)</f>
        <v>19</v>
      </c>
      <c r="G27" s="5">
        <f t="shared" si="1"/>
        <v>38</v>
      </c>
      <c r="H27" s="5">
        <f>IF(OR(AND(M27="fiambres",WEEKDAY(2)),AND(M27="lacteos",WEEKDAY(4)),AND(M27="panaderia",WEEKDAY(6))),INDEX(rubros!$A$2:$D$4,MATCH(M27,rubros!$B$2:$B$4,0),4)*G27,0)</f>
        <v>1.9000000000000001</v>
      </c>
      <c r="I27" s="5">
        <f t="shared" si="2"/>
        <v>39.9</v>
      </c>
      <c r="J27" s="5">
        <f>INDEX(rubros!$A$2:$D$4,MATCH(M27,rubros!$B$2:$B$4,0),3)*G29</f>
        <v>3.4160000000000008</v>
      </c>
      <c r="K27" s="5">
        <f t="shared" si="3"/>
        <v>43.316000000000003</v>
      </c>
      <c r="L27" t="str">
        <f>VLOOKUP(B27,productos!$A$2:$D$24,2)</f>
        <v>paleta</v>
      </c>
      <c r="M27" t="str">
        <f>VLOOKUP(INDEX(precios!$A$2:$J$73,MATCH(D27,precios!$H$2:$H$73,0),3),rubros!$A$2:$D$4,2)</f>
        <v>lacteos</v>
      </c>
      <c r="N27" t="str">
        <f>VLOOKUP(B27,marcas!$A$2:$D$19,2)</f>
        <v>CLALDY</v>
      </c>
    </row>
    <row r="28" spans="1:14">
      <c r="A28" s="2">
        <v>38415</v>
      </c>
      <c r="B28" s="3">
        <v>7</v>
      </c>
      <c r="C28" s="3">
        <v>13</v>
      </c>
      <c r="D28" s="3" t="str">
        <f t="shared" si="0"/>
        <v>7p13m</v>
      </c>
      <c r="E28" s="5">
        <v>0.3</v>
      </c>
      <c r="F28" s="5">
        <f>INDEX(precios!$A$2:$J$73,MATCH(D28,precios!$H$2:$H$73,0),9)</f>
        <v>60</v>
      </c>
      <c r="G28" s="5">
        <f t="shared" si="1"/>
        <v>18</v>
      </c>
      <c r="H28" s="5">
        <f>IF(OR(AND(M28="fiambres",WEEKDAY(2)),AND(M28="lacteos",WEEKDAY(4)),AND(M28="panaderia",WEEKDAY(6))),INDEX(rubros!$A$2:$D$4,MATCH(M28,rubros!$B$2:$B$4,0),4)*G28,0)</f>
        <v>0.9</v>
      </c>
      <c r="I28" s="5">
        <f t="shared" si="2"/>
        <v>18.899999999999999</v>
      </c>
      <c r="J28" s="5">
        <f>INDEX(rubros!$A$2:$D$4,MATCH(M28,rubros!$B$2:$B$4,0),3)*G30</f>
        <v>1.54</v>
      </c>
      <c r="K28" s="5">
        <f t="shared" si="3"/>
        <v>20.439999999999998</v>
      </c>
      <c r="L28" t="str">
        <f>VLOOKUP(B28,productos!$A$2:$D$24,2)</f>
        <v>paleta</v>
      </c>
      <c r="M28" t="str">
        <f>VLOOKUP(INDEX(precios!$A$2:$J$73,MATCH(D28,precios!$H$2:$H$73,0),3),rubros!$A$2:$D$4,2)</f>
        <v>lacteos</v>
      </c>
      <c r="N28" t="str">
        <f>VLOOKUP(B28,marcas!$A$2:$D$19,2)</f>
        <v>KALI</v>
      </c>
    </row>
    <row r="29" spans="1:14">
      <c r="A29" s="2">
        <v>38415</v>
      </c>
      <c r="B29" s="3">
        <v>15</v>
      </c>
      <c r="C29" s="3">
        <v>10</v>
      </c>
      <c r="D29" s="3" t="str">
        <f t="shared" si="0"/>
        <v>15p10m</v>
      </c>
      <c r="E29" s="5">
        <v>0.2</v>
      </c>
      <c r="F29" s="5">
        <f>INDEX(precios!$A$2:$J$73,MATCH(D29,precios!$H$2:$H$73,0),9)</f>
        <v>122</v>
      </c>
      <c r="G29" s="5">
        <f t="shared" si="1"/>
        <v>24.400000000000002</v>
      </c>
      <c r="H29" s="5">
        <f>IF(OR(AND(M29="fiambres",WEEKDAY(2)),AND(M29="lacteos",WEEKDAY(4)),AND(M29="panaderia",WEEKDAY(6))),INDEX(rubros!$A$2:$D$4,MATCH(M29,rubros!$B$2:$B$4,0),4)*G29,0)</f>
        <v>1.2200000000000002</v>
      </c>
      <c r="I29" s="5">
        <f t="shared" si="2"/>
        <v>25.62</v>
      </c>
      <c r="J29" s="5">
        <f>INDEX(rubros!$A$2:$D$4,MATCH(M29,rubros!$B$2:$B$4,0),3)*G31</f>
        <v>8.82</v>
      </c>
      <c r="K29" s="5">
        <f t="shared" si="3"/>
        <v>34.44</v>
      </c>
      <c r="L29" t="str">
        <f>VLOOKUP(B29,productos!$A$2:$D$24,2)</f>
        <v>paleta</v>
      </c>
      <c r="M29" t="str">
        <f>VLOOKUP(INDEX(precios!$A$2:$J$73,MATCH(D29,precios!$H$2:$H$73,0),3),rubros!$A$2:$D$4,2)</f>
        <v>lacteos</v>
      </c>
      <c r="N29" t="str">
        <f>VLOOKUP(B29,marcas!$A$2:$D$19,2)</f>
        <v>SORCHANTES</v>
      </c>
    </row>
    <row r="30" spans="1:14">
      <c r="A30" s="2">
        <v>38415</v>
      </c>
      <c r="B30" s="3">
        <v>16</v>
      </c>
      <c r="C30" s="3">
        <v>11</v>
      </c>
      <c r="D30" s="3" t="str">
        <f t="shared" si="0"/>
        <v>16p11m</v>
      </c>
      <c r="E30" s="5">
        <v>1</v>
      </c>
      <c r="F30" s="5">
        <f>INDEX(precios!$A$2:$J$73,MATCH(D30,precios!$H$2:$H$73,0),9)</f>
        <v>11</v>
      </c>
      <c r="G30" s="5">
        <f t="shared" si="1"/>
        <v>11</v>
      </c>
      <c r="H30" s="5">
        <f>IF(OR(AND(M30="fiambres",WEEKDAY(2)),AND(M30="lacteos",WEEKDAY(4)),AND(M30="panaderia",WEEKDAY(6))),INDEX(rubros!$A$2:$D$4,MATCH(M30,rubros!$B$2:$B$4,0),4)*G30,0)</f>
        <v>0.55000000000000004</v>
      </c>
      <c r="I30" s="5">
        <f t="shared" si="2"/>
        <v>11.55</v>
      </c>
      <c r="J30" s="5">
        <f>INDEX(rubros!$A$2:$D$4,MATCH(M30,rubros!$B$2:$B$4,0),3)*G32</f>
        <v>7.2800000000000011</v>
      </c>
      <c r="K30" s="5">
        <f t="shared" si="3"/>
        <v>18.830000000000002</v>
      </c>
      <c r="L30" t="str">
        <f>VLOOKUP(B30,productos!$A$2:$D$24,2)</f>
        <v>paleta</v>
      </c>
      <c r="M30" t="str">
        <f>VLOOKUP(INDEX(precios!$A$2:$J$73,MATCH(D30,precios!$H$2:$H$73,0),3),rubros!$A$2:$D$4,2)</f>
        <v>lacteos</v>
      </c>
      <c r="N30" t="str">
        <f>VLOOKUP(B30,marcas!$A$2:$D$19,2)</f>
        <v>MALLORQUINA</v>
      </c>
    </row>
    <row r="31" spans="1:14">
      <c r="A31" s="2">
        <v>38415</v>
      </c>
      <c r="B31" s="3">
        <v>12</v>
      </c>
      <c r="C31" s="3">
        <v>10</v>
      </c>
      <c r="D31" s="3" t="str">
        <f t="shared" si="0"/>
        <v>12p10m</v>
      </c>
      <c r="E31" s="5">
        <v>3</v>
      </c>
      <c r="F31" s="5">
        <f>INDEX(precios!$A$2:$J$73,MATCH(D31,precios!$H$2:$H$73,0),9)</f>
        <v>21</v>
      </c>
      <c r="G31" s="5">
        <f t="shared" si="1"/>
        <v>63</v>
      </c>
      <c r="H31" s="5">
        <f>IF(OR(AND(M31="fiambres",WEEKDAY(2)),AND(M31="lacteos",WEEKDAY(4)),AND(M31="panaderia",WEEKDAY(6))),INDEX(rubros!$A$2:$D$4,MATCH(M31,rubros!$B$2:$B$4,0),4)*G31,0)</f>
        <v>3.1500000000000004</v>
      </c>
      <c r="I31" s="5">
        <f t="shared" si="2"/>
        <v>66.150000000000006</v>
      </c>
      <c r="J31" s="5">
        <f>INDEX(rubros!$A$2:$D$4,MATCH(M31,rubros!$B$2:$B$4,0),3)*G33</f>
        <v>3.444</v>
      </c>
      <c r="K31" s="5">
        <f t="shared" si="3"/>
        <v>69.594000000000008</v>
      </c>
      <c r="L31" t="str">
        <f>VLOOKUP(B31,productos!$A$2:$D$24,2)</f>
        <v>paleta</v>
      </c>
      <c r="M31" t="str">
        <f>VLOOKUP(INDEX(precios!$A$2:$J$73,MATCH(D31,precios!$H$2:$H$73,0),3),rubros!$A$2:$D$4,2)</f>
        <v>lacteos</v>
      </c>
      <c r="N31" t="str">
        <f>VLOOKUP(B31,marcas!$A$2:$D$19,2)</f>
        <v>CLALDY</v>
      </c>
    </row>
    <row r="32" spans="1:14">
      <c r="A32" s="2">
        <v>38415</v>
      </c>
      <c r="B32" s="3">
        <v>3</v>
      </c>
      <c r="C32" s="3">
        <v>4</v>
      </c>
      <c r="D32" s="3" t="str">
        <f t="shared" si="0"/>
        <v>3p4m</v>
      </c>
      <c r="E32" s="5">
        <v>0.5</v>
      </c>
      <c r="F32" s="5">
        <f>INDEX(precios!$A$2:$J$73,MATCH(D32,precios!$H$2:$H$73,0),9)</f>
        <v>104</v>
      </c>
      <c r="G32" s="5">
        <f t="shared" si="1"/>
        <v>52</v>
      </c>
      <c r="H32" s="5">
        <f>IF(OR(AND(M32="fiambres",WEEKDAY(2)),AND(M32="lacteos",WEEKDAY(4)),AND(M32="panaderia",WEEKDAY(6))),INDEX(rubros!$A$2:$D$4,MATCH(M32,rubros!$B$2:$B$4,0),4)*G32,0)</f>
        <v>5.2</v>
      </c>
      <c r="I32" s="5">
        <f t="shared" si="2"/>
        <v>57.2</v>
      </c>
      <c r="J32" s="5">
        <f>INDEX(rubros!$A$2:$D$4,MATCH(M32,rubros!$B$2:$B$4,0),3)*G34</f>
        <v>1.4950000000000001</v>
      </c>
      <c r="K32" s="5">
        <f t="shared" si="3"/>
        <v>58.695</v>
      </c>
      <c r="L32" t="str">
        <f>VLOOKUP(B32,productos!$A$2:$D$24,2)</f>
        <v>paleta</v>
      </c>
      <c r="M32" t="str">
        <f>VLOOKUP(INDEX(precios!$A$2:$J$73,MATCH(D32,precios!$H$2:$H$73,0),3),rubros!$A$2:$D$4,2)</f>
        <v>fiambres</v>
      </c>
      <c r="N32" t="str">
        <f>VLOOKUP(B32,marcas!$A$2:$D$19,2)</f>
        <v>OTTONELO</v>
      </c>
    </row>
    <row r="33" spans="1:14">
      <c r="A33" s="2">
        <v>38415</v>
      </c>
      <c r="B33" s="3">
        <v>5</v>
      </c>
      <c r="C33" s="3">
        <v>7</v>
      </c>
      <c r="D33" s="3" t="str">
        <f t="shared" si="0"/>
        <v>5p7m</v>
      </c>
      <c r="E33" s="5">
        <v>0.3</v>
      </c>
      <c r="F33" s="5">
        <f>INDEX(precios!$A$2:$J$73,MATCH(D33,precios!$H$2:$H$73,0),9)</f>
        <v>82</v>
      </c>
      <c r="G33" s="5">
        <f t="shared" si="1"/>
        <v>24.599999999999998</v>
      </c>
      <c r="H33" s="5">
        <f>IF(OR(AND(M33="fiambres",WEEKDAY(2)),AND(M33="lacteos",WEEKDAY(4)),AND(M33="panaderia",WEEKDAY(6))),INDEX(rubros!$A$2:$D$4,MATCH(M33,rubros!$B$2:$B$4,0),4)*G33,0)</f>
        <v>2.46</v>
      </c>
      <c r="I33" s="5">
        <f t="shared" si="2"/>
        <v>27.06</v>
      </c>
      <c r="J33" s="5">
        <f>INDEX(rubros!$A$2:$D$4,MATCH(M33,rubros!$B$2:$B$4,0),3)*G35</f>
        <v>0.46</v>
      </c>
      <c r="K33" s="5">
        <f t="shared" si="3"/>
        <v>27.52</v>
      </c>
      <c r="L33" t="str">
        <f>VLOOKUP(B33,productos!$A$2:$D$24,2)</f>
        <v>paleta</v>
      </c>
      <c r="M33" t="str">
        <f>VLOOKUP(INDEX(precios!$A$2:$J$73,MATCH(D33,precios!$H$2:$H$73,0),3),rubros!$A$2:$D$4,2)</f>
        <v>fiambres</v>
      </c>
      <c r="N33" t="str">
        <f>VLOOKUP(B33,marcas!$A$2:$D$19,2)</f>
        <v>RAUSA</v>
      </c>
    </row>
    <row r="34" spans="1:14">
      <c r="A34" s="2">
        <v>38415</v>
      </c>
      <c r="B34" s="3">
        <v>8</v>
      </c>
      <c r="C34" s="3">
        <v>14</v>
      </c>
      <c r="D34" s="3" t="str">
        <f t="shared" si="0"/>
        <v>8p14m</v>
      </c>
      <c r="E34" s="5">
        <v>0.1</v>
      </c>
      <c r="F34" s="5">
        <f>INDEX(precios!$A$2:$J$73,MATCH(D34,precios!$H$2:$H$73,0),9)</f>
        <v>65</v>
      </c>
      <c r="G34" s="5">
        <f t="shared" si="1"/>
        <v>6.5</v>
      </c>
      <c r="H34" s="5">
        <f>IF(OR(AND(M34="fiambres",WEEKDAY(2)),AND(M34="lacteos",WEEKDAY(4)),AND(M34="panaderia",WEEKDAY(6))),INDEX(rubros!$A$2:$D$4,MATCH(M34,rubros!$B$2:$B$4,0),4)*G34,0)</f>
        <v>0.32500000000000001</v>
      </c>
      <c r="I34" s="5">
        <f t="shared" si="2"/>
        <v>6.8250000000000002</v>
      </c>
      <c r="J34" s="5">
        <f>INDEX(rubros!$A$2:$D$4,MATCH(M34,rubros!$B$2:$B$4,0),3)*G36</f>
        <v>5.6000000000000005</v>
      </c>
      <c r="K34" s="5">
        <f t="shared" si="3"/>
        <v>12.425000000000001</v>
      </c>
      <c r="L34" t="str">
        <f>VLOOKUP(B34,productos!$A$2:$D$24,2)</f>
        <v>paleta</v>
      </c>
      <c r="M34" t="str">
        <f>VLOOKUP(INDEX(precios!$A$2:$J$73,MATCH(D34,precios!$H$2:$H$73,0),3),rubros!$A$2:$D$4,2)</f>
        <v>lacteos</v>
      </c>
      <c r="N34" t="str">
        <f>VLOOKUP(B34,marcas!$A$2:$D$19,2)</f>
        <v>SHNECK</v>
      </c>
    </row>
    <row r="35" spans="1:14">
      <c r="A35" s="2">
        <v>38415</v>
      </c>
      <c r="B35" s="3">
        <v>17</v>
      </c>
      <c r="C35" s="3">
        <v>16</v>
      </c>
      <c r="D35" s="3" t="str">
        <f t="shared" si="0"/>
        <v>17p16m</v>
      </c>
      <c r="E35" s="5">
        <v>0.5</v>
      </c>
      <c r="F35" s="5">
        <f>INDEX(precios!$A$2:$J$73,MATCH(D35,precios!$H$2:$H$73,0),9)</f>
        <v>4</v>
      </c>
      <c r="G35" s="5">
        <f t="shared" si="1"/>
        <v>2</v>
      </c>
      <c r="H35" s="5">
        <f>IF(OR(AND(M35="fiambres",WEEKDAY(2)),AND(M35="lacteos",WEEKDAY(4)),AND(M35="panaderia",WEEKDAY(6))),INDEX(rubros!$A$2:$D$4,MATCH(M35,rubros!$B$2:$B$4,0),4)*G35,0)</f>
        <v>0.3</v>
      </c>
      <c r="I35" s="5">
        <f t="shared" si="2"/>
        <v>2.2999999999999998</v>
      </c>
      <c r="J35" s="5">
        <f>INDEX(rubros!$A$2:$D$4,MATCH(M35,rubros!$B$2:$B$4,0),3)*G37</f>
        <v>0</v>
      </c>
      <c r="K35" s="5">
        <f t="shared" si="3"/>
        <v>2.2999999999999998</v>
      </c>
      <c r="L35" t="str">
        <f>VLOOKUP(B35,productos!$A$2:$D$24,2)</f>
        <v>paleta</v>
      </c>
      <c r="M35" t="str">
        <f>VLOOKUP(INDEX(precios!$A$2:$J$73,MATCH(D35,precios!$H$2:$H$73,0),3),rubros!$A$2:$D$4,2)</f>
        <v>panaderia</v>
      </c>
      <c r="N35" t="str">
        <f>VLOOKUP(B35,marcas!$A$2:$D$19,2)</f>
        <v>FARGO</v>
      </c>
    </row>
    <row r="36" spans="1:14">
      <c r="A36" s="2">
        <v>38412</v>
      </c>
      <c r="B36" s="3">
        <v>21</v>
      </c>
      <c r="C36" s="3">
        <v>17</v>
      </c>
      <c r="D36" s="3" t="str">
        <f t="shared" si="0"/>
        <v>21p17m</v>
      </c>
      <c r="E36" s="5">
        <v>10</v>
      </c>
      <c r="F36" s="5">
        <f>INDEX(precios!$A$2:$J$73,MATCH(D36,precios!$H$2:$H$73,0),9)</f>
        <v>4</v>
      </c>
      <c r="G36" s="5">
        <f t="shared" si="1"/>
        <v>40</v>
      </c>
      <c r="H36" s="5">
        <f>IF(OR(AND(M36="fiambres",WEEKDAY(2)),AND(M36="lacteos",WEEKDAY(4)),AND(M36="panaderia",WEEKDAY(6))),INDEX(rubros!$A$2:$D$4,MATCH(M36,rubros!$B$2:$B$4,0),4)*G36,0)</f>
        <v>6</v>
      </c>
      <c r="I36" s="5">
        <f t="shared" si="2"/>
        <v>46</v>
      </c>
      <c r="J36" s="5">
        <f>INDEX(rubros!$A$2:$D$4,MATCH(M36,rubros!$B$2:$B$4,0),3)*G38</f>
        <v>0</v>
      </c>
      <c r="K36" s="5">
        <f t="shared" si="3"/>
        <v>46</v>
      </c>
      <c r="L36" t="str">
        <f>VLOOKUP(B36,productos!$A$2:$D$24,2)</f>
        <v>yogurt</v>
      </c>
      <c r="M36" t="str">
        <f>VLOOKUP(INDEX(precios!$A$2:$J$73,MATCH(D36,precios!$H$2:$H$73,0),3),rubros!$A$2:$D$4,2)</f>
        <v>panaderia</v>
      </c>
      <c r="N36" t="str">
        <f>VLOOKUP(B36,marcas!$A$2:$D$19,2)</f>
        <v>PROPIO</v>
      </c>
    </row>
    <row r="37" spans="1:14">
      <c r="A37" s="2">
        <v>38412</v>
      </c>
      <c r="B37" s="3">
        <v>22</v>
      </c>
      <c r="C37" s="3">
        <v>18</v>
      </c>
      <c r="D37" s="3" t="str">
        <f t="shared" si="0"/>
        <v>22p18m</v>
      </c>
      <c r="E37" s="5">
        <v>2</v>
      </c>
      <c r="F37" s="5">
        <f>INDEX(precios!$A$2:$J$73,MATCH(D37,precios!$H$2:$H$73,0),9)</f>
        <v>30</v>
      </c>
      <c r="G37" s="5">
        <f t="shared" si="1"/>
        <v>60</v>
      </c>
      <c r="H37" s="5">
        <f>IF(OR(AND(M37="fiambres",WEEKDAY(2)),AND(M37="lacteos",WEEKDAY(4)),AND(M37="panaderia",WEEKDAY(6))),INDEX(rubros!$A$2:$D$4,MATCH(M37,rubros!$B$2:$B$4,0),4)*G37,0)</f>
        <v>9</v>
      </c>
      <c r="I37" s="5">
        <f t="shared" si="2"/>
        <v>69</v>
      </c>
      <c r="J37" s="5">
        <f>INDEX(rubros!$A$2:$D$4,MATCH(M37,rubros!$B$2:$B$4,0),3)*G39</f>
        <v>0</v>
      </c>
      <c r="K37" s="5">
        <f t="shared" si="3"/>
        <v>69</v>
      </c>
      <c r="L37" t="str">
        <f>VLOOKUP(B37,productos!$A$2:$D$24,2)</f>
        <v>yogurt</v>
      </c>
      <c r="M37" t="str">
        <f>VLOOKUP(INDEX(precios!$A$2:$J$73,MATCH(D37,precios!$H$2:$H$73,0),3),rubros!$A$2:$D$4,2)</f>
        <v>panaderia</v>
      </c>
      <c r="N37" t="str">
        <f>VLOOKUP(B37,marcas!$A$2:$D$19,2)</f>
        <v>PROPIO</v>
      </c>
    </row>
    <row r="38" spans="1:14">
      <c r="A38" s="2">
        <v>38412</v>
      </c>
      <c r="B38" s="3">
        <v>20</v>
      </c>
      <c r="C38" s="3">
        <v>18</v>
      </c>
      <c r="D38" s="3" t="str">
        <f t="shared" si="0"/>
        <v>20p18m</v>
      </c>
      <c r="E38" s="5">
        <v>1</v>
      </c>
      <c r="F38" s="5">
        <f>INDEX(precios!$A$2:$J$73,MATCH(D38,precios!$H$2:$H$73,0),9)</f>
        <v>45</v>
      </c>
      <c r="G38" s="5">
        <f t="shared" si="1"/>
        <v>45</v>
      </c>
      <c r="H38" s="5">
        <f>IF(OR(AND(M38="fiambres",WEEKDAY(2)),AND(M38="lacteos",WEEKDAY(4)),AND(M38="panaderia",WEEKDAY(6))),INDEX(rubros!$A$2:$D$4,MATCH(M38,rubros!$B$2:$B$4,0),4)*G38,0)</f>
        <v>6.75</v>
      </c>
      <c r="I38" s="5">
        <f t="shared" si="2"/>
        <v>51.75</v>
      </c>
      <c r="J38" s="5">
        <f>INDEX(rubros!$A$2:$D$4,MATCH(M38,rubros!$B$2:$B$4,0),3)*G40</f>
        <v>0</v>
      </c>
      <c r="K38" s="5">
        <f t="shared" si="3"/>
        <v>51.75</v>
      </c>
      <c r="L38" t="str">
        <f>VLOOKUP(B38,productos!$A$2:$D$24,2)</f>
        <v>yogurt</v>
      </c>
      <c r="M38" t="str">
        <f>VLOOKUP(INDEX(precios!$A$2:$J$73,MATCH(D38,precios!$H$2:$H$73,0),3),rubros!$A$2:$D$4,2)</f>
        <v>panaderia</v>
      </c>
      <c r="N38" t="str">
        <f>VLOOKUP(B38,marcas!$A$2:$D$19,2)</f>
        <v>PROPIO</v>
      </c>
    </row>
    <row r="39" spans="1:14">
      <c r="A39" s="2">
        <v>38412</v>
      </c>
      <c r="B39" s="3">
        <v>11</v>
      </c>
      <c r="C39" s="3">
        <v>9</v>
      </c>
      <c r="D39" s="3" t="str">
        <f t="shared" si="0"/>
        <v>11p9m</v>
      </c>
      <c r="E39" s="5">
        <v>4</v>
      </c>
      <c r="F39" s="5">
        <f>INDEX(precios!$A$2:$J$73,MATCH(D39,precios!$H$2:$H$73,0),9)</f>
        <v>11</v>
      </c>
      <c r="G39" s="5">
        <f t="shared" si="1"/>
        <v>44</v>
      </c>
      <c r="H39" s="5">
        <f>IF(OR(AND(M39="fiambres",WEEKDAY(2)),AND(M39="lacteos",WEEKDAY(4)),AND(M39="panaderia",WEEKDAY(6))),INDEX(rubros!$A$2:$D$4,MATCH(M39,rubros!$B$2:$B$4,0),4)*G39,0)</f>
        <v>2.2000000000000002</v>
      </c>
      <c r="I39" s="5">
        <f t="shared" si="2"/>
        <v>46.2</v>
      </c>
      <c r="J39" s="5">
        <f>INDEX(rubros!$A$2:$D$4,MATCH(M39,rubros!$B$2:$B$4,0),3)*G41</f>
        <v>4.0950000000000006</v>
      </c>
      <c r="K39" s="5">
        <f t="shared" si="3"/>
        <v>50.295000000000002</v>
      </c>
      <c r="L39" t="str">
        <f>VLOOKUP(B39,productos!$A$2:$D$24,2)</f>
        <v>paleta</v>
      </c>
      <c r="M39" t="str">
        <f>VLOOKUP(INDEX(precios!$A$2:$J$73,MATCH(D39,precios!$H$2:$H$73,0),3),rubros!$A$2:$D$4,2)</f>
        <v>lacteos</v>
      </c>
      <c r="N39" t="str">
        <f>VLOOKUP(B39,marcas!$A$2:$D$19,2)</f>
        <v>CAPROLET</v>
      </c>
    </row>
    <row r="40" spans="1:14">
      <c r="A40" s="2">
        <v>38412</v>
      </c>
      <c r="B40" s="3">
        <v>6</v>
      </c>
      <c r="C40" s="3">
        <v>3</v>
      </c>
      <c r="D40" s="3" t="str">
        <f t="shared" si="0"/>
        <v>6p3m</v>
      </c>
      <c r="E40" s="5">
        <v>2</v>
      </c>
      <c r="F40" s="5">
        <f>INDEX(precios!$A$2:$J$73,MATCH(D40,precios!$H$2:$H$73,0),9)</f>
        <v>58</v>
      </c>
      <c r="G40" s="5">
        <f t="shared" si="1"/>
        <v>116</v>
      </c>
      <c r="H40" s="5">
        <f>IF(OR(AND(M40="fiambres",WEEKDAY(2)),AND(M40="lacteos",WEEKDAY(4)),AND(M40="panaderia",WEEKDAY(6))),INDEX(rubros!$A$2:$D$4,MATCH(M40,rubros!$B$2:$B$4,0),4)*G40,0)</f>
        <v>11.600000000000001</v>
      </c>
      <c r="I40" s="5">
        <f t="shared" si="2"/>
        <v>127.6</v>
      </c>
      <c r="J40" s="5">
        <f>INDEX(rubros!$A$2:$D$4,MATCH(M40,rubros!$B$2:$B$4,0),3)*G42</f>
        <v>10.0625</v>
      </c>
      <c r="K40" s="5">
        <f t="shared" si="3"/>
        <v>137.66249999999999</v>
      </c>
      <c r="L40" t="str">
        <f>VLOOKUP(B40,productos!$A$2:$D$24,2)</f>
        <v>paleta</v>
      </c>
      <c r="M40" t="str">
        <f>VLOOKUP(INDEX(precios!$A$2:$J$73,MATCH(D40,precios!$H$2:$H$73,0),3),rubros!$A$2:$D$4,2)</f>
        <v>fiambres</v>
      </c>
      <c r="N40" t="str">
        <f>VLOOKUP(B40,marcas!$A$2:$D$19,2)</f>
        <v>CENTENARIO</v>
      </c>
    </row>
    <row r="41" spans="1:14">
      <c r="A41" s="2">
        <v>38412</v>
      </c>
      <c r="B41" s="3">
        <v>4</v>
      </c>
      <c r="C41" s="3">
        <v>5</v>
      </c>
      <c r="D41" s="3" t="str">
        <f t="shared" si="0"/>
        <v>4p5m</v>
      </c>
      <c r="E41" s="5">
        <v>0.25</v>
      </c>
      <c r="F41" s="5">
        <f>INDEX(precios!$A$2:$J$73,MATCH(D41,precios!$H$2:$H$73,0),9)</f>
        <v>117</v>
      </c>
      <c r="G41" s="5">
        <f t="shared" si="1"/>
        <v>29.25</v>
      </c>
      <c r="H41" s="5">
        <f>IF(OR(AND(M41="fiambres",WEEKDAY(2)),AND(M41="lacteos",WEEKDAY(4)),AND(M41="panaderia",WEEKDAY(6))),INDEX(rubros!$A$2:$D$4,MATCH(M41,rubros!$B$2:$B$4,0),4)*G41,0)</f>
        <v>2.9250000000000003</v>
      </c>
      <c r="I41" s="5">
        <f t="shared" si="2"/>
        <v>32.174999999999997</v>
      </c>
      <c r="J41" s="5">
        <f>INDEX(rubros!$A$2:$D$4,MATCH(M41,rubros!$B$2:$B$4,0),3)*G43</f>
        <v>7.13</v>
      </c>
      <c r="K41" s="5">
        <f t="shared" si="3"/>
        <v>39.305</v>
      </c>
      <c r="L41" t="str">
        <f>VLOOKUP(B41,productos!$A$2:$D$24,2)</f>
        <v>paleta</v>
      </c>
      <c r="M41" t="str">
        <f>VLOOKUP(INDEX(precios!$A$2:$J$73,MATCH(D41,precios!$H$2:$H$73,0),3),rubros!$A$2:$D$4,2)</f>
        <v>fiambres</v>
      </c>
      <c r="N41" t="str">
        <f>VLOOKUP(B41,marcas!$A$2:$D$19,2)</f>
        <v>SARUBI</v>
      </c>
    </row>
    <row r="42" spans="1:14">
      <c r="A42" s="2">
        <v>38412</v>
      </c>
      <c r="B42" s="3">
        <v>10</v>
      </c>
      <c r="C42" s="3">
        <v>12</v>
      </c>
      <c r="D42" s="3" t="str">
        <f t="shared" si="0"/>
        <v>10p12m</v>
      </c>
      <c r="E42" s="5">
        <v>0.35</v>
      </c>
      <c r="F42" s="5">
        <f>INDEX(precios!$A$2:$J$73,MATCH(D42,precios!$H$2:$H$73,0),9)</f>
        <v>125</v>
      </c>
      <c r="G42" s="5">
        <f t="shared" si="1"/>
        <v>43.75</v>
      </c>
      <c r="H42" s="5">
        <f>IF(OR(AND(M42="fiambres",WEEKDAY(2)),AND(M42="lacteos",WEEKDAY(4)),AND(M42="panaderia",WEEKDAY(6))),INDEX(rubros!$A$2:$D$4,MATCH(M42,rubros!$B$2:$B$4,0),4)*G42,0)</f>
        <v>2.1875</v>
      </c>
      <c r="I42" s="5">
        <f t="shared" si="2"/>
        <v>45.9375</v>
      </c>
      <c r="J42" s="5">
        <f>INDEX(rubros!$A$2:$D$4,MATCH(M42,rubros!$B$2:$B$4,0),3)*G44</f>
        <v>6.3000000000000007</v>
      </c>
      <c r="K42" s="5">
        <f t="shared" si="3"/>
        <v>52.237499999999997</v>
      </c>
      <c r="L42" t="str">
        <f>VLOOKUP(B42,productos!$A$2:$D$24,2)</f>
        <v>paleta</v>
      </c>
      <c r="M42" t="str">
        <f>VLOOKUP(INDEX(precios!$A$2:$J$73,MATCH(D42,precios!$H$2:$H$73,0),3),rubros!$A$2:$D$4,2)</f>
        <v>lacteos</v>
      </c>
      <c r="N42" t="str">
        <f>VLOOKUP(B42,marcas!$A$2:$D$19,2)</f>
        <v>CONAPROLE</v>
      </c>
    </row>
    <row r="43" spans="1:14">
      <c r="A43" s="2">
        <v>38413</v>
      </c>
      <c r="B43" s="3">
        <v>12</v>
      </c>
      <c r="C43" s="3">
        <v>12</v>
      </c>
      <c r="D43" s="3" t="str">
        <f t="shared" si="0"/>
        <v>12p12m</v>
      </c>
      <c r="E43" s="5">
        <v>2</v>
      </c>
      <c r="F43" s="5">
        <f>INDEX(precios!$A$2:$J$73,MATCH(D43,precios!$H$2:$H$73,0),9)</f>
        <v>15.5</v>
      </c>
      <c r="G43" s="5">
        <f t="shared" si="1"/>
        <v>31</v>
      </c>
      <c r="H43" s="5">
        <f>IF(OR(AND(M43="fiambres",WEEKDAY(2)),AND(M43="lacteos",WEEKDAY(4)),AND(M43="panaderia",WEEKDAY(6))),INDEX(rubros!$A$2:$D$4,MATCH(M43,rubros!$B$2:$B$4,0),4)*G43,0)</f>
        <v>1.55</v>
      </c>
      <c r="I43" s="5">
        <f t="shared" si="2"/>
        <v>32.549999999999997</v>
      </c>
      <c r="J43" s="5">
        <f>INDEX(rubros!$A$2:$D$4,MATCH(M43,rubros!$B$2:$B$4,0),3)*G45</f>
        <v>10.080000000000002</v>
      </c>
      <c r="K43" s="5">
        <f t="shared" si="3"/>
        <v>42.629999999999995</v>
      </c>
      <c r="L43" t="str">
        <f>VLOOKUP(B43,productos!$A$2:$D$24,2)</f>
        <v>paleta</v>
      </c>
      <c r="M43" t="str">
        <f>VLOOKUP(INDEX(precios!$A$2:$J$73,MATCH(D43,precios!$H$2:$H$73,0),3),rubros!$A$2:$D$4,2)</f>
        <v>lacteos</v>
      </c>
      <c r="N43" t="str">
        <f>VLOOKUP(B43,marcas!$A$2:$D$19,2)</f>
        <v>CLALDY</v>
      </c>
    </row>
    <row r="44" spans="1:14">
      <c r="A44" s="2">
        <v>38413</v>
      </c>
      <c r="B44" s="3">
        <v>22</v>
      </c>
      <c r="C44" s="3">
        <v>18</v>
      </c>
      <c r="D44" s="3" t="str">
        <f t="shared" si="0"/>
        <v>22p18m</v>
      </c>
      <c r="E44" s="5">
        <v>1.5</v>
      </c>
      <c r="F44" s="5">
        <f>INDEX(precios!$A$2:$J$73,MATCH(D44,precios!$H$2:$H$73,0),9)</f>
        <v>30</v>
      </c>
      <c r="G44" s="5">
        <f t="shared" si="1"/>
        <v>45</v>
      </c>
      <c r="H44" s="5">
        <f>IF(OR(AND(M44="fiambres",WEEKDAY(2)),AND(M44="lacteos",WEEKDAY(4)),AND(M44="panaderia",WEEKDAY(6))),INDEX(rubros!$A$2:$D$4,MATCH(M44,rubros!$B$2:$B$4,0),4)*G44,0)</f>
        <v>6.75</v>
      </c>
      <c r="I44" s="5">
        <f t="shared" si="2"/>
        <v>51.75</v>
      </c>
      <c r="J44" s="5">
        <f>INDEX(rubros!$A$2:$D$4,MATCH(M44,rubros!$B$2:$B$4,0),3)*G46</f>
        <v>0</v>
      </c>
      <c r="K44" s="5">
        <f t="shared" si="3"/>
        <v>51.75</v>
      </c>
      <c r="L44" t="str">
        <f>VLOOKUP(B44,productos!$A$2:$D$24,2)</f>
        <v>yogurt</v>
      </c>
      <c r="M44" t="str">
        <f>VLOOKUP(INDEX(precios!$A$2:$J$73,MATCH(D44,precios!$H$2:$H$73,0),3),rubros!$A$2:$D$4,2)</f>
        <v>panaderia</v>
      </c>
      <c r="N44" t="str">
        <f>VLOOKUP(B44,marcas!$A$2:$D$19,2)</f>
        <v>PROPIO</v>
      </c>
    </row>
    <row r="45" spans="1:14">
      <c r="A45" s="2">
        <v>38413</v>
      </c>
      <c r="B45" s="3">
        <v>2</v>
      </c>
      <c r="C45" s="3">
        <v>5</v>
      </c>
      <c r="D45" s="3" t="str">
        <f t="shared" si="0"/>
        <v>2p5m</v>
      </c>
      <c r="E45" s="5">
        <v>0.8</v>
      </c>
      <c r="F45" s="5">
        <f>INDEX(precios!$A$2:$J$73,MATCH(D45,precios!$H$2:$H$73,0),9)</f>
        <v>90</v>
      </c>
      <c r="G45" s="5">
        <f t="shared" si="1"/>
        <v>72</v>
      </c>
      <c r="H45" s="5">
        <f>IF(OR(AND(M45="fiambres",WEEKDAY(2)),AND(M45="lacteos",WEEKDAY(4)),AND(M45="panaderia",WEEKDAY(6))),INDEX(rubros!$A$2:$D$4,MATCH(M45,rubros!$B$2:$B$4,0),4)*G45,0)</f>
        <v>7.2</v>
      </c>
      <c r="I45" s="5">
        <f t="shared" si="2"/>
        <v>79.2</v>
      </c>
      <c r="J45" s="5">
        <f>INDEX(rubros!$A$2:$D$4,MATCH(M45,rubros!$B$2:$B$4,0),3)*G47</f>
        <v>37.352000000000004</v>
      </c>
      <c r="K45" s="5">
        <f t="shared" si="3"/>
        <v>116.55200000000001</v>
      </c>
      <c r="L45" t="str">
        <f>VLOOKUP(B45,productos!$A$2:$D$24,2)</f>
        <v>mortadela</v>
      </c>
      <c r="M45" t="str">
        <f>VLOOKUP(INDEX(precios!$A$2:$J$73,MATCH(D45,precios!$H$2:$H$73,0),3),rubros!$A$2:$D$4,2)</f>
        <v>fiambres</v>
      </c>
      <c r="N45" t="str">
        <f>VLOOKUP(B45,marcas!$A$2:$D$19,2)</f>
        <v>CATTIVELLI</v>
      </c>
    </row>
    <row r="46" spans="1:14">
      <c r="A46" s="2">
        <v>38413</v>
      </c>
      <c r="B46" s="3">
        <v>8</v>
      </c>
      <c r="C46" s="3">
        <v>10</v>
      </c>
      <c r="D46" s="3" t="str">
        <f t="shared" si="0"/>
        <v>8p10m</v>
      </c>
      <c r="E46" s="5">
        <v>0.45</v>
      </c>
      <c r="F46" s="5">
        <f>INDEX(precios!$A$2:$J$73,MATCH(D46,precios!$H$2:$H$73,0),9)</f>
        <v>81</v>
      </c>
      <c r="G46" s="5">
        <f t="shared" si="1"/>
        <v>36.450000000000003</v>
      </c>
      <c r="H46" s="5">
        <f>IF(OR(AND(M46="fiambres",WEEKDAY(2)),AND(M46="lacteos",WEEKDAY(4)),AND(M46="panaderia",WEEKDAY(6))),INDEX(rubros!$A$2:$D$4,MATCH(M46,rubros!$B$2:$B$4,0),4)*G46,0)</f>
        <v>1.8225000000000002</v>
      </c>
      <c r="I46" s="5">
        <f t="shared" si="2"/>
        <v>38.272500000000001</v>
      </c>
      <c r="J46" s="5">
        <f>INDEX(rubros!$A$2:$D$4,MATCH(M46,rubros!$B$2:$B$4,0),3)*G48</f>
        <v>0</v>
      </c>
      <c r="K46" s="5">
        <f t="shared" si="3"/>
        <v>38.272500000000001</v>
      </c>
      <c r="L46" t="str">
        <f>VLOOKUP(B46,productos!$A$2:$D$24,2)</f>
        <v>paleta</v>
      </c>
      <c r="M46" t="str">
        <f>VLOOKUP(INDEX(precios!$A$2:$J$73,MATCH(D46,precios!$H$2:$H$73,0),3),rubros!$A$2:$D$4,2)</f>
        <v>lacteos</v>
      </c>
      <c r="N46" t="str">
        <f>VLOOKUP(B46,marcas!$A$2:$D$19,2)</f>
        <v>SHNECK</v>
      </c>
    </row>
    <row r="47" spans="1:14">
      <c r="A47" s="2">
        <v>38413</v>
      </c>
      <c r="B47" s="3">
        <v>13</v>
      </c>
      <c r="C47" s="3">
        <v>11</v>
      </c>
      <c r="D47" s="3" t="str">
        <f t="shared" si="0"/>
        <v>13p11m</v>
      </c>
      <c r="E47" s="5">
        <v>1.45</v>
      </c>
      <c r="F47" s="5">
        <f>INDEX(precios!$A$2:$J$73,MATCH(D47,precios!$H$2:$H$73,0),9)</f>
        <v>112</v>
      </c>
      <c r="G47" s="5">
        <f t="shared" si="1"/>
        <v>162.4</v>
      </c>
      <c r="H47" s="5">
        <f>IF(OR(AND(M47="fiambres",WEEKDAY(2)),AND(M47="lacteos",WEEKDAY(4)),AND(M47="panaderia",WEEKDAY(6))),INDEX(rubros!$A$2:$D$4,MATCH(M47,rubros!$B$2:$B$4,0),4)*G47,0)</f>
        <v>8.120000000000001</v>
      </c>
      <c r="I47" s="5">
        <f t="shared" si="2"/>
        <v>170.52</v>
      </c>
      <c r="J47" s="5">
        <f>INDEX(rubros!$A$2:$D$4,MATCH(M47,rubros!$B$2:$B$4,0),3)*G49</f>
        <v>0</v>
      </c>
      <c r="K47" s="5">
        <f t="shared" si="3"/>
        <v>170.52</v>
      </c>
      <c r="L47" t="str">
        <f>VLOOKUP(B47,productos!$A$2:$D$24,2)</f>
        <v>paleta</v>
      </c>
      <c r="M47" t="str">
        <f>VLOOKUP(INDEX(precios!$A$2:$J$73,MATCH(D47,precios!$H$2:$H$73,0),3),rubros!$A$2:$D$4,2)</f>
        <v>lacteos</v>
      </c>
      <c r="N47" t="str">
        <f>VLOOKUP(B47,marcas!$A$2:$D$19,2)</f>
        <v>MILKY</v>
      </c>
    </row>
  </sheetData>
  <pageMargins left="0.75" right="0.75" top="1" bottom="1" header="0" footer="0"/>
  <pageSetup paperSize="261" orientation="portrait" horizontalDpi="180" verticalDpi="18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CODICEN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Capacitacion en Informatica</dc:creator>
  <cp:keywords/>
  <dc:description/>
  <cp:lastModifiedBy/>
  <cp:revision/>
  <dcterms:created xsi:type="dcterms:W3CDTF">2017-12-30T03:25:59Z</dcterms:created>
  <dcterms:modified xsi:type="dcterms:W3CDTF">2018-04-06T18:18:12Z</dcterms:modified>
  <cp:category/>
  <cp:contentStatus/>
</cp:coreProperties>
</file>