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udo\Desktop\UNC Class\Crowdfunding Analysis\"/>
    </mc:Choice>
  </mc:AlternateContent>
  <xr:revisionPtr revIDLastSave="0" documentId="13_ncr:1_{104D0EA9-D7F0-4101-9517-A3735F082750}" xr6:coauthVersionLast="47" xr6:coauthVersionMax="47" xr10:uidLastSave="{00000000-0000-0000-0000-000000000000}"/>
  <bookViews>
    <workbookView xWindow="25490" yWindow="4730" windowWidth="19420" windowHeight="10300" firstSheet="3" activeTab="5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Theater Outcomes by Launch Date" sheetId="5" r:id="rId4"/>
    <sheet name="Kickstarter" sheetId="1" r:id="rId5"/>
    <sheet name="Outcomes Based on Goals" sheetId="6" r:id="rId6"/>
  </sheets>
  <calcPr calcId="191029"/>
  <pivotCaches>
    <pivotCache cacheId="0" r:id="rId7"/>
    <pivotCache cacheId="1" r:id="rId8"/>
    <pivotCache cacheId="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6" l="1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F3" i="6"/>
  <c r="G3" i="6"/>
  <c r="H3" i="6"/>
  <c r="F4" i="6"/>
  <c r="G4" i="6"/>
  <c r="H4" i="6"/>
  <c r="F5" i="6"/>
  <c r="G5" i="6"/>
  <c r="H5" i="6"/>
  <c r="F6" i="6"/>
  <c r="G6" i="6"/>
  <c r="H6" i="6"/>
  <c r="F7" i="6"/>
  <c r="G7" i="6"/>
  <c r="H7" i="6"/>
  <c r="G2" i="6"/>
  <c r="H2" i="6"/>
  <c r="F2" i="6"/>
  <c r="D7" i="6"/>
  <c r="C7" i="6"/>
  <c r="B7" i="6"/>
  <c r="D6" i="6"/>
  <c r="C6" i="6"/>
  <c r="B6" i="6"/>
  <c r="D5" i="6"/>
  <c r="C5" i="6"/>
  <c r="B5" i="6"/>
  <c r="D2" i="6"/>
  <c r="D4" i="6"/>
  <c r="C4" i="6"/>
  <c r="B4" i="6"/>
  <c r="D3" i="6"/>
  <c r="C3" i="6"/>
  <c r="B3" i="6"/>
  <c r="B2" i="6"/>
  <c r="C2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6" l="1"/>
  <c r="F13" i="6" s="1"/>
  <c r="E12" i="6"/>
  <c r="G12" i="6" s="1"/>
  <c r="E11" i="6"/>
  <c r="G11" i="6" s="1"/>
  <c r="E10" i="6"/>
  <c r="G10" i="6" s="1"/>
  <c r="E9" i="6"/>
  <c r="F9" i="6" s="1"/>
  <c r="E8" i="6"/>
  <c r="H8" i="6" s="1"/>
  <c r="E7" i="6"/>
  <c r="E6" i="6"/>
  <c r="E5" i="6"/>
  <c r="E4" i="6"/>
  <c r="E3" i="6"/>
  <c r="E2" i="6"/>
  <c r="G13" i="6" l="1"/>
  <c r="H13" i="6"/>
  <c r="F12" i="6"/>
  <c r="H12" i="6"/>
  <c r="H11" i="6"/>
  <c r="F11" i="6"/>
  <c r="F10" i="6"/>
  <c r="H10" i="6"/>
  <c r="H9" i="6"/>
  <c r="G9" i="6"/>
  <c r="F8" i="6"/>
  <c r="G8" i="6"/>
</calcChain>
</file>

<file path=xl/sharedStrings.xml><?xml version="1.0" encoding="utf-8"?>
<sst xmlns="http://schemas.openxmlformats.org/spreadsheetml/2006/main" count="33070" uniqueCount="8400">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</sst>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1" applyNumberFormat="1" applyFont="1" applyAlignment="1">
      <alignment horizontal="center"/>
    </xf>
    <xf numFmtId="2" fontId="3" fillId="0" borderId="0" xfId="1" applyNumberFormat="1" applyFont="1"/>
    <xf numFmtId="2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193044619422574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69-4882-AE14-EADC41B52F0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69-4882-AE14-EADC41B52F0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69-4882-AE14-EADC41B52F0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69-4882-AE14-EADC41B52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2000655"/>
        <c:axId val="1402001071"/>
      </c:barChart>
      <c:catAx>
        <c:axId val="140200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001071"/>
        <c:crosses val="autoZero"/>
        <c:auto val="1"/>
        <c:lblAlgn val="ctr"/>
        <c:lblOffset val="100"/>
        <c:noMultiLvlLbl val="0"/>
      </c:catAx>
      <c:valAx>
        <c:axId val="140200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00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E7-4B62-A11B-75309BD030C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E7-4B62-A11B-75309BD030C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E7-4B62-A11B-75309BD030C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E7-4B62-A11B-75309BD03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1542895"/>
        <c:axId val="1571540399"/>
      </c:barChart>
      <c:catAx>
        <c:axId val="157154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540399"/>
        <c:crosses val="autoZero"/>
        <c:auto val="1"/>
        <c:lblAlgn val="ctr"/>
        <c:lblOffset val="100"/>
        <c:noMultiLvlLbl val="0"/>
      </c:catAx>
      <c:valAx>
        <c:axId val="157154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54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BD-4FFA-AD7C-DEA412BE2A9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FBD-4FFA-AD7C-DEA412BE2A9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FBD-4FFA-AD7C-DEA412BE2A9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FBD-4FFA-AD7C-DEA412BE2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3267567"/>
        <c:axId val="1063270479"/>
      </c:lineChart>
      <c:catAx>
        <c:axId val="106326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270479"/>
        <c:crosses val="autoZero"/>
        <c:auto val="1"/>
        <c:lblAlgn val="ctr"/>
        <c:lblOffset val="100"/>
        <c:noMultiLvlLbl val="0"/>
      </c:catAx>
      <c:valAx>
        <c:axId val="106327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26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8D-4A8E-A5D2-B553AB24659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8D-4A8E-A5D2-B553AB24659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8D-4A8E-A5D2-B553AB246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3620703"/>
        <c:axId val="1323621119"/>
      </c:lineChart>
      <c:catAx>
        <c:axId val="132362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621119"/>
        <c:crosses val="autoZero"/>
        <c:auto val="1"/>
        <c:lblAlgn val="ctr"/>
        <c:lblOffset val="100"/>
        <c:noMultiLvlLbl val="0"/>
      </c:catAx>
      <c:valAx>
        <c:axId val="132362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62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0.72707889125799574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8D-49BD-8EFF-CBEAF1193F1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0.27292110874200426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8D-49BD-8EFF-CBEAF1193F1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C8D-49BD-8EFF-CBEAF1193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8311455"/>
        <c:axId val="13983122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341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C8D-49BD-8EFF-CBEAF1193F1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128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C8D-49BD-8EFF-CBEAF1193F1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C8D-49BD-8EFF-CBEAF1193F1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469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C8D-49BD-8EFF-CBEAF1193F1B}"/>
                  </c:ext>
                </c:extLst>
              </c15:ser>
            </c15:filteredLineSeries>
          </c:ext>
        </c:extLst>
      </c:lineChart>
      <c:catAx>
        <c:axId val="139831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312287"/>
        <c:crosses val="autoZero"/>
        <c:auto val="1"/>
        <c:lblAlgn val="ctr"/>
        <c:lblOffset val="100"/>
        <c:noMultiLvlLbl val="0"/>
      </c:catAx>
      <c:valAx>
        <c:axId val="139831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31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0</xdr:row>
      <xdr:rowOff>185737</xdr:rowOff>
    </xdr:from>
    <xdr:to>
      <xdr:col>14</xdr:col>
      <xdr:colOff>552450</xdr:colOff>
      <xdr:row>15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E32498-D5C4-4D3C-8965-084FBFC93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3</xdr:row>
      <xdr:rowOff>185737</xdr:rowOff>
    </xdr:from>
    <xdr:to>
      <xdr:col>20</xdr:col>
      <xdr:colOff>533400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6E5F5F-6217-48C3-8336-0CCA1A7D2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228599</xdr:colOff>
      <xdr:row>3</xdr:row>
      <xdr:rowOff>119061</xdr:rowOff>
    </xdr:from>
    <xdr:to>
      <xdr:col>21</xdr:col>
      <xdr:colOff>323849</xdr:colOff>
      <xdr:row>27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6EB0A-C3B4-4F79-8505-897F19DDD2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4</xdr:row>
      <xdr:rowOff>90487</xdr:rowOff>
    </xdr:from>
    <xdr:to>
      <xdr:col>19</xdr:col>
      <xdr:colOff>85725</xdr:colOff>
      <xdr:row>26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239ADB-06AA-4292-9518-843145A7F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438150</xdr:colOff>
      <xdr:row>20</xdr:row>
      <xdr:rowOff>128587</xdr:rowOff>
    </xdr:from>
    <xdr:to>
      <xdr:col>19</xdr:col>
      <xdr:colOff>152400</xdr:colOff>
      <xdr:row>35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754375-879C-418B-BFC6-44D2B0FAD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" refreshedDate="44441.652773495371" createdVersion="7" refreshedVersion="7" minRefreshableVersion="3" recordCount="4114" xr:uid="{5E5E0D61-0DDB-4A35-B639-9D69AC247C5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" refreshedDate="44441.665106365741" createdVersion="7" refreshedVersion="7" minRefreshableVersion="3" recordCount="4114" xr:uid="{ED326D96-8F3F-4B1B-AD76-8656FCD38A8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" refreshedDate="44441.67087962963" createdVersion="7" refreshedVersion="7" minRefreshableVersion="3" recordCount="4114" xr:uid="{7EE06D2F-BD36-4DA6-97C5-EBE50E81497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955F86-8027-4621-9A6F-825E3F06B11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1B1068-65B7-4CBB-8015-528887FC544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E03DAF-6C2F-44BD-87CD-CF3754D5C22D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C64FC-2791-4237-8CCA-A27FF2198D78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E5A39-625C-488F-A71E-4F7F23C1C9C1}">
  <dimension ref="A1:F14"/>
  <sheetViews>
    <sheetView workbookViewId="0">
      <selection activeCell="S19" sqref="S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8364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8308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25">
      <c r="A6" s="15" t="s">
        <v>8334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25">
      <c r="A7" s="15" t="s">
        <v>8331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25">
      <c r="A8" s="15" t="s">
        <v>8329</v>
      </c>
      <c r="B8" s="16">
        <v>24</v>
      </c>
      <c r="C8" s="16"/>
      <c r="D8" s="16"/>
      <c r="E8" s="16"/>
      <c r="F8" s="16">
        <v>24</v>
      </c>
    </row>
    <row r="9" spans="1:6" x14ac:dyDescent="0.25">
      <c r="A9" s="15" t="s">
        <v>8323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25">
      <c r="A10" s="15" t="s">
        <v>8336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25">
      <c r="A11" s="15" t="s">
        <v>8320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25">
      <c r="A12" s="15" t="s">
        <v>8317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25">
      <c r="A13" s="15" t="s">
        <v>8315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25">
      <c r="A14" s="15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B49E3-6A81-4899-B25A-D68E0A8AB450}">
  <dimension ref="A1:F43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8224</v>
      </c>
    </row>
    <row r="2" spans="1:6" x14ac:dyDescent="0.25">
      <c r="A2" s="14" t="s">
        <v>8358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8314</v>
      </c>
      <c r="B6" s="16"/>
      <c r="C6" s="16">
        <v>14</v>
      </c>
      <c r="D6" s="16"/>
      <c r="E6" s="16"/>
      <c r="F6" s="16">
        <v>14</v>
      </c>
    </row>
    <row r="7" spans="1:6" x14ac:dyDescent="0.25">
      <c r="A7" s="15" t="s">
        <v>8342</v>
      </c>
      <c r="B7" s="16">
        <v>3</v>
      </c>
      <c r="C7" s="16"/>
      <c r="D7" s="16"/>
      <c r="E7" s="16"/>
      <c r="F7" s="16">
        <v>3</v>
      </c>
    </row>
    <row r="8" spans="1:6" x14ac:dyDescent="0.25">
      <c r="A8" s="15" t="s">
        <v>8356</v>
      </c>
      <c r="B8" s="16"/>
      <c r="C8" s="16">
        <v>2</v>
      </c>
      <c r="D8" s="16"/>
      <c r="E8" s="16"/>
      <c r="F8" s="16">
        <v>2</v>
      </c>
    </row>
    <row r="9" spans="1:6" x14ac:dyDescent="0.25">
      <c r="A9" s="15" t="s">
        <v>8352</v>
      </c>
      <c r="B9" s="16"/>
      <c r="C9" s="16"/>
      <c r="D9" s="16"/>
      <c r="E9" s="16">
        <v>5</v>
      </c>
      <c r="F9" s="16">
        <v>5</v>
      </c>
    </row>
    <row r="10" spans="1:6" x14ac:dyDescent="0.25">
      <c r="A10" s="15" t="s">
        <v>8313</v>
      </c>
      <c r="B10" s="16"/>
      <c r="C10" s="16"/>
      <c r="D10" s="16"/>
      <c r="E10" s="16">
        <v>8</v>
      </c>
      <c r="F10" s="16">
        <v>8</v>
      </c>
    </row>
    <row r="11" spans="1:6" x14ac:dyDescent="0.25">
      <c r="A11" s="15" t="s">
        <v>8312</v>
      </c>
      <c r="B11" s="16"/>
      <c r="C11" s="16">
        <v>16</v>
      </c>
      <c r="D11" s="16"/>
      <c r="E11" s="16"/>
      <c r="F11" s="16">
        <v>16</v>
      </c>
    </row>
    <row r="12" spans="1:6" x14ac:dyDescent="0.25">
      <c r="A12" s="15" t="s">
        <v>8328</v>
      </c>
      <c r="B12" s="16"/>
      <c r="C12" s="16"/>
      <c r="D12" s="16"/>
      <c r="E12" s="16">
        <v>6</v>
      </c>
      <c r="F12" s="16">
        <v>6</v>
      </c>
    </row>
    <row r="13" spans="1:6" x14ac:dyDescent="0.25">
      <c r="A13" s="15" t="s">
        <v>8345</v>
      </c>
      <c r="B13" s="16"/>
      <c r="C13" s="16">
        <v>1</v>
      </c>
      <c r="D13" s="16">
        <v>1</v>
      </c>
      <c r="E13" s="16"/>
      <c r="F13" s="16">
        <v>2</v>
      </c>
    </row>
    <row r="14" spans="1:6" x14ac:dyDescent="0.25">
      <c r="A14" s="15" t="s">
        <v>8322</v>
      </c>
      <c r="B14" s="16"/>
      <c r="C14" s="16">
        <v>2</v>
      </c>
      <c r="D14" s="16"/>
      <c r="E14" s="16"/>
      <c r="F14" s="16">
        <v>2</v>
      </c>
    </row>
    <row r="15" spans="1:6" x14ac:dyDescent="0.25">
      <c r="A15" s="15" t="s">
        <v>8335</v>
      </c>
      <c r="B15" s="16">
        <v>1</v>
      </c>
      <c r="C15" s="16">
        <v>5</v>
      </c>
      <c r="D15" s="16"/>
      <c r="E15" s="16"/>
      <c r="F15" s="16">
        <v>6</v>
      </c>
    </row>
    <row r="16" spans="1:6" x14ac:dyDescent="0.25">
      <c r="A16" s="15" t="s">
        <v>8346</v>
      </c>
      <c r="B16" s="16"/>
      <c r="C16" s="16">
        <v>3</v>
      </c>
      <c r="D16" s="16"/>
      <c r="E16" s="16"/>
      <c r="F16" s="16">
        <v>3</v>
      </c>
    </row>
    <row r="17" spans="1:6" x14ac:dyDescent="0.25">
      <c r="A17" s="15" t="s">
        <v>8347</v>
      </c>
      <c r="B17" s="16"/>
      <c r="C17" s="16"/>
      <c r="D17" s="16"/>
      <c r="E17" s="16">
        <v>19</v>
      </c>
      <c r="F17" s="16">
        <v>19</v>
      </c>
    </row>
    <row r="18" spans="1:6" x14ac:dyDescent="0.25">
      <c r="A18" s="15" t="s">
        <v>8326</v>
      </c>
      <c r="B18" s="16"/>
      <c r="C18" s="16">
        <v>6</v>
      </c>
      <c r="D18" s="16"/>
      <c r="E18" s="16"/>
      <c r="F18" s="16">
        <v>6</v>
      </c>
    </row>
    <row r="19" spans="1:6" x14ac:dyDescent="0.25">
      <c r="A19" s="15" t="s">
        <v>8325</v>
      </c>
      <c r="B19" s="16"/>
      <c r="C19" s="16"/>
      <c r="D19" s="16"/>
      <c r="E19" s="16">
        <v>2</v>
      </c>
      <c r="F19" s="16">
        <v>2</v>
      </c>
    </row>
    <row r="20" spans="1:6" x14ac:dyDescent="0.25">
      <c r="A20" s="15" t="s">
        <v>8333</v>
      </c>
      <c r="B20" s="16"/>
      <c r="C20" s="16">
        <v>7</v>
      </c>
      <c r="D20" s="16"/>
      <c r="E20" s="16"/>
      <c r="F20" s="16">
        <v>7</v>
      </c>
    </row>
    <row r="21" spans="1:6" x14ac:dyDescent="0.25">
      <c r="A21" s="15" t="s">
        <v>8357</v>
      </c>
      <c r="B21" s="16">
        <v>5</v>
      </c>
      <c r="C21" s="16">
        <v>11</v>
      </c>
      <c r="D21" s="16"/>
      <c r="E21" s="16">
        <v>10</v>
      </c>
      <c r="F21" s="16">
        <v>26</v>
      </c>
    </row>
    <row r="22" spans="1:6" x14ac:dyDescent="0.25">
      <c r="A22" s="15" t="s">
        <v>8341</v>
      </c>
      <c r="B22" s="16"/>
      <c r="C22" s="16">
        <v>3</v>
      </c>
      <c r="D22" s="16"/>
      <c r="E22" s="16"/>
      <c r="F22" s="16">
        <v>3</v>
      </c>
    </row>
    <row r="23" spans="1:6" x14ac:dyDescent="0.25">
      <c r="A23" s="15" t="s">
        <v>8321</v>
      </c>
      <c r="B23" s="16"/>
      <c r="C23" s="16"/>
      <c r="D23" s="16"/>
      <c r="E23" s="16">
        <v>6</v>
      </c>
      <c r="F23" s="16">
        <v>6</v>
      </c>
    </row>
    <row r="24" spans="1:6" x14ac:dyDescent="0.25">
      <c r="A24" s="15" t="s">
        <v>8348</v>
      </c>
      <c r="B24" s="16"/>
      <c r="C24" s="16">
        <v>5</v>
      </c>
      <c r="D24" s="16"/>
      <c r="E24" s="16"/>
      <c r="F24" s="16">
        <v>5</v>
      </c>
    </row>
    <row r="25" spans="1:6" x14ac:dyDescent="0.25">
      <c r="A25" s="15" t="s">
        <v>8337</v>
      </c>
      <c r="B25" s="16"/>
      <c r="C25" s="16">
        <v>14</v>
      </c>
      <c r="D25" s="16"/>
      <c r="E25" s="16">
        <v>18</v>
      </c>
      <c r="F25" s="16">
        <v>32</v>
      </c>
    </row>
    <row r="26" spans="1:6" x14ac:dyDescent="0.25">
      <c r="A26" s="15" t="s">
        <v>8343</v>
      </c>
      <c r="B26" s="16"/>
      <c r="C26" s="16">
        <v>5</v>
      </c>
      <c r="D26" s="16"/>
      <c r="E26" s="16"/>
      <c r="F26" s="16">
        <v>5</v>
      </c>
    </row>
    <row r="27" spans="1:6" x14ac:dyDescent="0.25">
      <c r="A27" s="15" t="s">
        <v>8316</v>
      </c>
      <c r="B27" s="16"/>
      <c r="C27" s="16">
        <v>70</v>
      </c>
      <c r="D27" s="16">
        <v>6</v>
      </c>
      <c r="E27" s="16">
        <v>238</v>
      </c>
      <c r="F27" s="16">
        <v>314</v>
      </c>
    </row>
    <row r="28" spans="1:6" x14ac:dyDescent="0.25">
      <c r="A28" s="15" t="s">
        <v>8344</v>
      </c>
      <c r="B28" s="16"/>
      <c r="C28" s="16"/>
      <c r="D28" s="16"/>
      <c r="E28" s="16">
        <v>2</v>
      </c>
      <c r="F28" s="16">
        <v>2</v>
      </c>
    </row>
    <row r="29" spans="1:6" x14ac:dyDescent="0.25">
      <c r="A29" s="15" t="s">
        <v>8351</v>
      </c>
      <c r="B29" s="16"/>
      <c r="C29" s="16">
        <v>3</v>
      </c>
      <c r="D29" s="16"/>
      <c r="E29" s="16"/>
      <c r="F29" s="16">
        <v>3</v>
      </c>
    </row>
    <row r="30" spans="1:6" x14ac:dyDescent="0.25">
      <c r="A30" s="15" t="s">
        <v>8324</v>
      </c>
      <c r="B30" s="16"/>
      <c r="C30" s="16"/>
      <c r="D30" s="16"/>
      <c r="E30" s="16">
        <v>10</v>
      </c>
      <c r="F30" s="16">
        <v>10</v>
      </c>
    </row>
    <row r="31" spans="1:6" x14ac:dyDescent="0.25">
      <c r="A31" s="15" t="s">
        <v>8311</v>
      </c>
      <c r="B31" s="16">
        <v>2</v>
      </c>
      <c r="C31" s="16"/>
      <c r="D31" s="16"/>
      <c r="E31" s="16"/>
      <c r="F31" s="16">
        <v>2</v>
      </c>
    </row>
    <row r="32" spans="1:6" x14ac:dyDescent="0.25">
      <c r="A32" s="15" t="s">
        <v>8310</v>
      </c>
      <c r="B32" s="16"/>
      <c r="C32" s="16"/>
      <c r="D32" s="16"/>
      <c r="E32" s="16">
        <v>6</v>
      </c>
      <c r="F32" s="16">
        <v>6</v>
      </c>
    </row>
    <row r="33" spans="1:6" x14ac:dyDescent="0.25">
      <c r="A33" s="15" t="s">
        <v>8350</v>
      </c>
      <c r="B33" s="16"/>
      <c r="C33" s="16"/>
      <c r="D33" s="16">
        <v>1</v>
      </c>
      <c r="E33" s="16"/>
      <c r="F33" s="16">
        <v>1</v>
      </c>
    </row>
    <row r="34" spans="1:6" x14ac:dyDescent="0.25">
      <c r="A34" s="15" t="s">
        <v>8353</v>
      </c>
      <c r="B34" s="16"/>
      <c r="C34" s="16"/>
      <c r="D34" s="16"/>
      <c r="E34" s="16">
        <v>3</v>
      </c>
      <c r="F34" s="16">
        <v>3</v>
      </c>
    </row>
    <row r="35" spans="1:6" x14ac:dyDescent="0.25">
      <c r="A35" s="15" t="s">
        <v>8355</v>
      </c>
      <c r="B35" s="16">
        <v>1</v>
      </c>
      <c r="C35" s="16">
        <v>8</v>
      </c>
      <c r="D35" s="16"/>
      <c r="E35" s="16">
        <v>10</v>
      </c>
      <c r="F35" s="16">
        <v>19</v>
      </c>
    </row>
    <row r="36" spans="1:6" x14ac:dyDescent="0.25">
      <c r="A36" s="15" t="s">
        <v>8349</v>
      </c>
      <c r="B36" s="16"/>
      <c r="C36" s="16"/>
      <c r="D36" s="16"/>
      <c r="E36" s="16">
        <v>16</v>
      </c>
      <c r="F36" s="16">
        <v>16</v>
      </c>
    </row>
    <row r="37" spans="1:6" x14ac:dyDescent="0.25">
      <c r="A37" s="15" t="s">
        <v>8309</v>
      </c>
      <c r="B37" s="16"/>
      <c r="C37" s="16"/>
      <c r="D37" s="16"/>
      <c r="E37" s="16">
        <v>7</v>
      </c>
      <c r="F37" s="16">
        <v>7</v>
      </c>
    </row>
    <row r="38" spans="1:6" x14ac:dyDescent="0.25">
      <c r="A38" s="15" t="s">
        <v>8339</v>
      </c>
      <c r="B38" s="16"/>
      <c r="C38" s="16">
        <v>4</v>
      </c>
      <c r="D38" s="16"/>
      <c r="E38" s="16"/>
      <c r="F38" s="16">
        <v>4</v>
      </c>
    </row>
    <row r="39" spans="1:6" x14ac:dyDescent="0.25">
      <c r="A39" s="15" t="s">
        <v>8332</v>
      </c>
      <c r="B39" s="16"/>
      <c r="C39" s="16">
        <v>10</v>
      </c>
      <c r="D39" s="16"/>
      <c r="E39" s="16"/>
      <c r="F39" s="16">
        <v>10</v>
      </c>
    </row>
    <row r="40" spans="1:6" x14ac:dyDescent="0.25">
      <c r="A40" s="15" t="s">
        <v>8319</v>
      </c>
      <c r="B40" s="16">
        <v>5</v>
      </c>
      <c r="C40" s="16">
        <v>6</v>
      </c>
      <c r="D40" s="16"/>
      <c r="E40" s="16"/>
      <c r="F40" s="16">
        <v>11</v>
      </c>
    </row>
    <row r="41" spans="1:6" x14ac:dyDescent="0.25">
      <c r="A41" s="15" t="s">
        <v>8318</v>
      </c>
      <c r="B41" s="16">
        <v>7</v>
      </c>
      <c r="C41" s="16">
        <v>10</v>
      </c>
      <c r="D41" s="16"/>
      <c r="E41" s="16"/>
      <c r="F41" s="16">
        <v>17</v>
      </c>
    </row>
    <row r="42" spans="1:6" x14ac:dyDescent="0.25">
      <c r="A42" s="15" t="s">
        <v>8338</v>
      </c>
      <c r="B42" s="16">
        <v>1</v>
      </c>
      <c r="C42" s="16"/>
      <c r="D42" s="16"/>
      <c r="E42" s="16"/>
      <c r="F42" s="16">
        <v>1</v>
      </c>
    </row>
    <row r="43" spans="1:6" x14ac:dyDescent="0.25">
      <c r="A43" s="15" t="s">
        <v>8361</v>
      </c>
      <c r="B43" s="16">
        <v>25</v>
      </c>
      <c r="C43" s="16">
        <v>205</v>
      </c>
      <c r="D43" s="16">
        <v>8</v>
      </c>
      <c r="E43" s="16">
        <v>366</v>
      </c>
      <c r="F43" s="16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62B7A-1DF1-4240-8DF8-9E7B47152A58}">
  <dimension ref="A1:F18"/>
  <sheetViews>
    <sheetView workbookViewId="0">
      <selection activeCell="AD16" sqref="AD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0" width="6.85546875" bestFit="1" customWidth="1"/>
    <col min="11" max="11" width="11.28515625" bestFit="1" customWidth="1"/>
    <col min="12" max="12" width="4.5703125" bestFit="1" customWidth="1"/>
    <col min="13" max="13" width="4.28515625" bestFit="1" customWidth="1"/>
    <col min="14" max="14" width="11.28515625" bestFit="1" customWidth="1"/>
    <col min="15" max="15" width="8.28515625" bestFit="1" customWidth="1"/>
    <col min="16" max="16" width="6.28515625" bestFit="1" customWidth="1"/>
    <col min="17" max="17" width="9.28515625" bestFit="1" customWidth="1"/>
    <col min="18" max="18" width="6.140625" bestFit="1" customWidth="1"/>
    <col min="20" max="20" width="5.85546875" bestFit="1" customWidth="1"/>
    <col min="21" max="21" width="8.85546875" bestFit="1" customWidth="1"/>
    <col min="22" max="22" width="6.42578125" bestFit="1" customWidth="1"/>
    <col min="23" max="23" width="9.42578125" bestFit="1" customWidth="1"/>
    <col min="24" max="24" width="6.140625" bestFit="1" customWidth="1"/>
    <col min="26" max="26" width="11.28515625" bestFit="1" customWidth="1"/>
  </cols>
  <sheetData>
    <row r="1" spans="1:6" x14ac:dyDescent="0.25">
      <c r="A1" s="14" t="s">
        <v>8358</v>
      </c>
      <c r="B1" t="s">
        <v>8364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6">
        <v>34</v>
      </c>
      <c r="C6" s="16">
        <v>149</v>
      </c>
      <c r="D6" s="16">
        <v>2</v>
      </c>
      <c r="E6" s="16">
        <v>182</v>
      </c>
      <c r="F6" s="16">
        <v>367</v>
      </c>
    </row>
    <row r="7" spans="1:6" x14ac:dyDescent="0.25">
      <c r="A7" s="18" t="s">
        <v>8374</v>
      </c>
      <c r="B7" s="16">
        <v>27</v>
      </c>
      <c r="C7" s="16">
        <v>106</v>
      </c>
      <c r="D7" s="16">
        <v>18</v>
      </c>
      <c r="E7" s="16">
        <v>202</v>
      </c>
      <c r="F7" s="16">
        <v>353</v>
      </c>
    </row>
    <row r="8" spans="1:6" x14ac:dyDescent="0.25">
      <c r="A8" s="18" t="s">
        <v>8375</v>
      </c>
      <c r="B8" s="16">
        <v>28</v>
      </c>
      <c r="C8" s="16">
        <v>108</v>
      </c>
      <c r="D8" s="16">
        <v>30</v>
      </c>
      <c r="E8" s="16">
        <v>180</v>
      </c>
      <c r="F8" s="16">
        <v>346</v>
      </c>
    </row>
    <row r="9" spans="1:6" x14ac:dyDescent="0.25">
      <c r="A9" s="18" t="s">
        <v>8376</v>
      </c>
      <c r="B9" s="16">
        <v>27</v>
      </c>
      <c r="C9" s="16">
        <v>102</v>
      </c>
      <c r="D9" s="16"/>
      <c r="E9" s="16">
        <v>192</v>
      </c>
      <c r="F9" s="16">
        <v>321</v>
      </c>
    </row>
    <row r="10" spans="1:6" x14ac:dyDescent="0.25">
      <c r="A10" s="18" t="s">
        <v>8367</v>
      </c>
      <c r="B10" s="16">
        <v>26</v>
      </c>
      <c r="C10" s="16">
        <v>126</v>
      </c>
      <c r="D10" s="16"/>
      <c r="E10" s="16">
        <v>234</v>
      </c>
      <c r="F10" s="16">
        <v>386</v>
      </c>
    </row>
    <row r="11" spans="1:6" x14ac:dyDescent="0.25">
      <c r="A11" s="18" t="s">
        <v>8377</v>
      </c>
      <c r="B11" s="16">
        <v>27</v>
      </c>
      <c r="C11" s="16">
        <v>147</v>
      </c>
      <c r="D11" s="16"/>
      <c r="E11" s="16">
        <v>211</v>
      </c>
      <c r="F11" s="16">
        <v>385</v>
      </c>
    </row>
    <row r="12" spans="1:6" x14ac:dyDescent="0.25">
      <c r="A12" s="18" t="s">
        <v>8368</v>
      </c>
      <c r="B12" s="16">
        <v>43</v>
      </c>
      <c r="C12" s="16">
        <v>150</v>
      </c>
      <c r="D12" s="16"/>
      <c r="E12" s="16">
        <v>194</v>
      </c>
      <c r="F12" s="16">
        <v>387</v>
      </c>
    </row>
    <row r="13" spans="1:6" x14ac:dyDescent="0.25">
      <c r="A13" s="18" t="s">
        <v>8369</v>
      </c>
      <c r="B13" s="16">
        <v>33</v>
      </c>
      <c r="C13" s="16">
        <v>134</v>
      </c>
      <c r="D13" s="16"/>
      <c r="E13" s="16">
        <v>166</v>
      </c>
      <c r="F13" s="16">
        <v>333</v>
      </c>
    </row>
    <row r="14" spans="1:6" x14ac:dyDescent="0.25">
      <c r="A14" s="18" t="s">
        <v>8370</v>
      </c>
      <c r="B14" s="16">
        <v>24</v>
      </c>
      <c r="C14" s="16">
        <v>127</v>
      </c>
      <c r="D14" s="16"/>
      <c r="E14" s="16">
        <v>147</v>
      </c>
      <c r="F14" s="16">
        <v>298</v>
      </c>
    </row>
    <row r="15" spans="1:6" x14ac:dyDescent="0.25">
      <c r="A15" s="18" t="s">
        <v>8371</v>
      </c>
      <c r="B15" s="16">
        <v>20</v>
      </c>
      <c r="C15" s="16">
        <v>149</v>
      </c>
      <c r="D15" s="16"/>
      <c r="E15" s="16">
        <v>183</v>
      </c>
      <c r="F15" s="16">
        <v>352</v>
      </c>
    </row>
    <row r="16" spans="1:6" x14ac:dyDescent="0.25">
      <c r="A16" s="18" t="s">
        <v>8372</v>
      </c>
      <c r="B16" s="16">
        <v>37</v>
      </c>
      <c r="C16" s="16">
        <v>114</v>
      </c>
      <c r="D16" s="16"/>
      <c r="E16" s="16">
        <v>183</v>
      </c>
      <c r="F16" s="16">
        <v>334</v>
      </c>
    </row>
    <row r="17" spans="1:6" x14ac:dyDescent="0.25">
      <c r="A17" s="18" t="s">
        <v>8378</v>
      </c>
      <c r="B17" s="16">
        <v>23</v>
      </c>
      <c r="C17" s="16">
        <v>118</v>
      </c>
      <c r="D17" s="16"/>
      <c r="E17" s="16">
        <v>111</v>
      </c>
      <c r="F17" s="16">
        <v>252</v>
      </c>
    </row>
    <row r="18" spans="1:6" x14ac:dyDescent="0.25">
      <c r="A18" s="18" t="s">
        <v>8361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4FB88-37B2-4488-87DC-3468CE7F23BC}">
  <dimension ref="A1:E18"/>
  <sheetViews>
    <sheetView topLeftCell="A10" workbookViewId="0">
      <selection activeCell="C1" sqref="C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8379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8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8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8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8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8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8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8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8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8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8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8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8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pane ySplit="1" topLeftCell="A968" activePane="bottomLeft" state="frozen"/>
      <selection pane="bottomLeft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1" bestFit="1" customWidth="1"/>
    <col min="16" max="16" width="17.28515625" bestFit="1" customWidth="1"/>
    <col min="17" max="17" width="19.140625" customWidth="1"/>
    <col min="18" max="18" width="18.42578125" customWidth="1"/>
    <col min="19" max="19" width="24.5703125" customWidth="1"/>
    <col min="20" max="20" width="22.140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>
        <f t="shared" ref="P67:P130" si="6">IFERROR(ROUND(E67/L67,2),0)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>
        <f t="shared" ref="P131:P194" si="11">IFERROR(ROUND(E131/L131,2),0)</f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>
        <f t="shared" ref="P195:P258" si="16">IFERROR(ROUND(E195/L195,2),0)</f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>
        <f t="shared" ref="P259:P322" si="21">IFERROR(ROUND(E259/L259,2),0)</f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>
        <f t="shared" ref="P323:P386" si="26">IFERROR(ROUND(E323/L323,2),0)</f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>
        <f t="shared" ref="P387:P450" si="31">IFERROR(ROUND(E387/L387,2),0)</f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>
        <f t="shared" ref="P451:P514" si="36">IFERROR(ROUND(E451/L451,2),0)</f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>
        <f t="shared" ref="P515:P578" si="41">IFERROR(ROUND(E515/L515,2),0)</f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>
        <f t="shared" si="41"/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>
        <f t="shared" ref="P579:P642" si="46">IFERROR(ROUND(E579/L579,2),0)</f>
        <v>10</v>
      </c>
      <c r="Q579" s="13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>
        <f t="shared" si="46"/>
        <v>50.5</v>
      </c>
      <c r="Q642" s="13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>
        <f t="shared" ref="P643:P706" si="51">IFERROR(ROUND(E643/L643,2),0)</f>
        <v>151.32</v>
      </c>
      <c r="Q643" s="13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3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3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3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3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3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3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3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3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3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3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3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>
        <f t="shared" si="51"/>
        <v>120.25</v>
      </c>
      <c r="Q706" s="13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>
        <f t="shared" ref="P707:P770" si="56">IFERROR(ROUND(E707/L707,2),0)</f>
        <v>195.4</v>
      </c>
      <c r="Q707" s="13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3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3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3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3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3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3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3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3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3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3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3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3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3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3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3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3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3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3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3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3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3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3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3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3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3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3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3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3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3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3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3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3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3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3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3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3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3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3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>
        <f t="shared" si="56"/>
        <v>0</v>
      </c>
      <c r="Q770" s="13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>
        <f t="shared" ref="P771:P834" si="61">IFERROR(ROUND(E771/L771,2),0)</f>
        <v>31.85</v>
      </c>
      <c r="Q771" s="13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3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3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3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3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3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3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3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3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3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3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3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3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3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3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3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3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3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3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3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3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3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3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3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3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3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3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3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3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3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3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3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3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3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3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3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3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3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>
        <f t="shared" si="61"/>
        <v>97.99</v>
      </c>
      <c r="Q834" s="13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>
        <f t="shared" ref="P835:P898" si="66">IFERROR(ROUND(E835/L835,2),0)</f>
        <v>148.78</v>
      </c>
      <c r="Q835" s="13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3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3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3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3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3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3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3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3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3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3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3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3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3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3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3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3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3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3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3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3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3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3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3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3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3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3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3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3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3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3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3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3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3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3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3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3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3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3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3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3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>
        <f t="shared" si="66"/>
        <v>44.44</v>
      </c>
      <c r="Q898" s="13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>
        <f t="shared" ref="P899:P962" si="71">IFERROR(ROUND(E899/L899,2),0)</f>
        <v>0</v>
      </c>
      <c r="Q899" s="13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3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3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3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3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3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3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3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3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3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3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3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3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3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3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3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3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3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3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3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3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3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3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3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3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3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3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3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3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3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3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3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3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3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3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3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3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3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3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3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3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3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3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3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3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3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3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3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3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3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3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>
        <f t="shared" si="71"/>
        <v>136.46</v>
      </c>
      <c r="Q962" s="13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>
        <f t="shared" ref="P963:P1026" si="76">IFERROR(ROUND(E963/L963,2),0)</f>
        <v>364.35</v>
      </c>
      <c r="Q963" s="13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3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3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3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3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3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3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3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3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3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3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3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3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3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3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3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3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3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3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3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3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3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3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3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3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3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3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3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3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3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3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3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3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3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3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3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3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3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3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3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3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3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>
        <f t="shared" si="76"/>
        <v>388.98</v>
      </c>
      <c r="Q1026" s="13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3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3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3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3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3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3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3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3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3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3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3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3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3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3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3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3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3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3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3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3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3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3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3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3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3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3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3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3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3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3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3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3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3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3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3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3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3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3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3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3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3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>
        <f t="shared" si="81"/>
        <v>43.42</v>
      </c>
      <c r="Q1090" s="13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>
        <f t="shared" ref="P1091:P1154" si="86">IFERROR(ROUND(E1091/L1091,2),0)</f>
        <v>23.96</v>
      </c>
      <c r="Q1091" s="13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3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3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3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3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3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3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3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3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3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3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3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3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3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3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3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3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3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3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3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3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3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3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3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3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3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3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3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3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3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3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3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3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3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>
        <f t="shared" si="86"/>
        <v>60.73</v>
      </c>
      <c r="Q1154" s="13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>
        <f t="shared" ref="P1155:P1218" si="91">IFERROR(ROUND(E1155/L1155,2),0)</f>
        <v>50</v>
      </c>
      <c r="Q1155" s="13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3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3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3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3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3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3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3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3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3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3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3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3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3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3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3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3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3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3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3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3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3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3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3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3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3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3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3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3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3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3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3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3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3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3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3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3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3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3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>
        <f t="shared" si="91"/>
        <v>91.88</v>
      </c>
      <c r="Q1218" s="13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>
        <f t="shared" ref="P1219:P1282" si="96">IFERROR(ROUND(E1219/L1219,2),0)</f>
        <v>148.57</v>
      </c>
      <c r="Q1219" s="13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3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3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3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3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3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3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3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3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3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3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3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3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3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3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3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3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3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3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3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3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3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3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3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3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3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3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3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3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3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3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3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3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3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3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3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3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3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3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3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>
        <f t="shared" si="96"/>
        <v>127.98</v>
      </c>
      <c r="Q1282" s="13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>
        <f t="shared" ref="P1283:P1346" si="101">IFERROR(ROUND(E1283/L1283,2),0)</f>
        <v>104.73</v>
      </c>
      <c r="Q1283" s="13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3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3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3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3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3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3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3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3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3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3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3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3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3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3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3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3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3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3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3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3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3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3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3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3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3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3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3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3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3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3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3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3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>
        <f t="shared" si="101"/>
        <v>40.76</v>
      </c>
      <c r="Q1346" s="13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>
        <f t="shared" ref="P1347:P1410" si="106">IFERROR(ROUND(E1347/L1347,2),0)</f>
        <v>53.57</v>
      </c>
      <c r="Q1347" s="13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3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3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3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3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3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3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3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3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3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3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3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3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3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3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3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3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3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3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3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3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3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3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3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3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3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3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3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3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3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3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3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3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3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>
        <f t="shared" si="106"/>
        <v>12</v>
      </c>
      <c r="Q1410" s="13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>
        <f t="shared" ref="P1411:P1474" si="111">IFERROR(ROUND(E1411/L1411,2),0)</f>
        <v>0</v>
      </c>
      <c r="Q1411" s="13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3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3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3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3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3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3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3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3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3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3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3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3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3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3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3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3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3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3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3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3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3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3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3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3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3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3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3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3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3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3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3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3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3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3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3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3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3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>
        <f t="shared" si="111"/>
        <v>103.2</v>
      </c>
      <c r="Q1474" s="13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>
        <f t="shared" ref="P1475:P1538" si="116">IFERROR(ROUND(E1475/L1475,2),0)</f>
        <v>38.46</v>
      </c>
      <c r="Q1475" s="13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3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3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3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3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3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3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3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3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3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3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3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3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3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3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3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3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3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3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3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3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3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3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3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3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3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3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3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3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3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3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3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3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3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3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3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3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3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3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>
        <f t="shared" si="116"/>
        <v>66.02</v>
      </c>
      <c r="Q1538" s="13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>
        <f t="shared" ref="P1539:P1602" si="121">IFERROR(ROUND(E1539/L1539,2),0)</f>
        <v>96.38</v>
      </c>
      <c r="Q1539" s="13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3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3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3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3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3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3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3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3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3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3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3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3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3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3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3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3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3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3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3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3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3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3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3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3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3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3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3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3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3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3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3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3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3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3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3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3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3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3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3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>
        <f t="shared" si="121"/>
        <v>40.78</v>
      </c>
      <c r="Q1602" s="13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>
        <f t="shared" ref="P1603:P1666" si="126">IFERROR(ROUND(E1603/L1603,2),0)</f>
        <v>48.33</v>
      </c>
      <c r="Q1603" s="13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3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3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3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3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3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3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3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3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3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3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3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3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3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3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3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3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3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3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3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3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3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3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3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3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3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3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3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3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3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3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3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3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>
        <f t="shared" si="126"/>
        <v>34.380000000000003</v>
      </c>
      <c r="Q1666" s="13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>
        <f t="shared" ref="P1667:P1730" si="131">IFERROR(ROUND(E1667/L1667,2),0)</f>
        <v>44.96</v>
      </c>
      <c r="Q1667" s="13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3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3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3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3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3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3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3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3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3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3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3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3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3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3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3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3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3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3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3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3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3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3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3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3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3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3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3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3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3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3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3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3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3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>
        <f t="shared" si="131"/>
        <v>122.14</v>
      </c>
      <c r="Q1730" s="13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>
        <f t="shared" ref="P1731:P1794" si="136">IFERROR(ROUND(E1731/L1731,2),0)</f>
        <v>0</v>
      </c>
      <c r="Q1731" s="13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3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3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3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3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3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3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3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3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3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3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3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3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3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3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3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3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3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3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3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3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3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3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3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3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3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3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3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3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3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3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3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3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3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>
        <f t="shared" si="136"/>
        <v>109.94</v>
      </c>
      <c r="Q1794" s="13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>
        <f t="shared" ref="P1795:P1858" si="141">IFERROR(ROUND(E1795/L1795,2),0)</f>
        <v>20</v>
      </c>
      <c r="Q1795" s="13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3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3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3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3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3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3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3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3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3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3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3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3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3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3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3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3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3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3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3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3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3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3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3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3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3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3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3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3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3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3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3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3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3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3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3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>
        <f t="shared" si="141"/>
        <v>53.29</v>
      </c>
      <c r="Q1858" s="13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3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3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3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3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3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3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3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3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3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3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3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3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3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3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3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3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3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3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3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3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3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3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3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3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3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3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3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3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3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3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3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3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3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3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3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3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3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>
        <f t="shared" si="146"/>
        <v>40.98</v>
      </c>
      <c r="Q1922" s="13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>
        <f t="shared" ref="P1923:P1986" si="151">IFERROR(ROUND(E1923/L1923,2),0)</f>
        <v>54</v>
      </c>
      <c r="Q1923" s="13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3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3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3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3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3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3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3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3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3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3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3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3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3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3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3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3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3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3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3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3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3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3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3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3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3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3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3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3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3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3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3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3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>
        <f t="shared" si="151"/>
        <v>453.14</v>
      </c>
      <c r="Q1986" s="13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3</v>
      </c>
      <c r="P1987">
        <f t="shared" ref="P1987:P2050" si="156">IFERROR(ROUND(E1987/L1987,2),0)</f>
        <v>12.75</v>
      </c>
      <c r="Q1987" s="13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3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3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3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3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3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3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3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3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3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3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3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3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3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3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3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3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3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3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3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3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3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3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3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3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3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3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3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3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3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3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3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3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3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3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3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3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>
        <f t="shared" si="156"/>
        <v>91.83</v>
      </c>
      <c r="Q2050" s="13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3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3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3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3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3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3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3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3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3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3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3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3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3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3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3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3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3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3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3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3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3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3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3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3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3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3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3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3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3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3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3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3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3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>
        <f t="shared" si="161"/>
        <v>27.27</v>
      </c>
      <c r="Q2114" s="13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3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3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3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3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3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3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3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3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3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3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3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3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3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3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3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3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3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3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3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3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3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3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3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3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3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3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3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3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3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3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3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3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3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3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>
        <f t="shared" si="166"/>
        <v>88.75</v>
      </c>
      <c r="Q2178" s="13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>
        <f t="shared" ref="P2179:P2242" si="171">IFERROR(ROUND(E2179/L2179,2),0)</f>
        <v>65.87</v>
      </c>
      <c r="Q2179" s="13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3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3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3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3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3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3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3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3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3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3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3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3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3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3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3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3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3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3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3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3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3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3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3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3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3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3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3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3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3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3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3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3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>
        <f t="shared" si="171"/>
        <v>140.97999999999999</v>
      </c>
      <c r="Q2242" s="13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806</v>
      </c>
      <c r="P2243">
        <f t="shared" ref="P2243:P2306" si="176">IFERROR(ROUND(E2243/L2243,2),0)</f>
        <v>49.47</v>
      </c>
      <c r="Q2243" s="13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3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3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3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3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3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3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3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3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3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3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3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3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3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3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3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3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3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3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3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3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3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3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3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3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3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3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3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3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3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3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3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3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>
        <f t="shared" si="176"/>
        <v>53.47</v>
      </c>
      <c r="Q2306" s="13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101</v>
      </c>
      <c r="P2307">
        <f t="shared" ref="P2307:P2370" si="181">IFERROR(ROUND(E2307/L2307,2),0)</f>
        <v>109.11</v>
      </c>
      <c r="Q2307" s="13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3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3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3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3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3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3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3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3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3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3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3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3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3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3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3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3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3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3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3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3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3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3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3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3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3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3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3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3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3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3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3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3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>
        <f t="shared" si="181"/>
        <v>50</v>
      </c>
      <c r="Q2370" s="13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0</v>
      </c>
      <c r="P2371">
        <f t="shared" ref="P2371:P2434" si="186">IFERROR(ROUND(E2371/L2371,2),0)</f>
        <v>0</v>
      </c>
      <c r="Q2371" s="13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3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3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3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3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3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3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3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3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3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3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3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3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3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3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3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3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3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3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3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3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3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3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3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3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3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3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3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3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3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3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3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3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3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3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3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3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3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3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3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3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3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3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>
        <f t="shared" si="186"/>
        <v>1</v>
      </c>
      <c r="Q2434" s="13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0</v>
      </c>
      <c r="P2435">
        <f t="shared" ref="P2435:P2498" si="191">IFERROR(ROUND(E2435/L2435,2),0)</f>
        <v>0</v>
      </c>
      <c r="Q2435" s="13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3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3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3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3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3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3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3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3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3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3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3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3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3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3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3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3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3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3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3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3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3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3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3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3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3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3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3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3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3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3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3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3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3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>
        <f t="shared" si="191"/>
        <v>600</v>
      </c>
      <c r="Q2498" s="13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113</v>
      </c>
      <c r="P2499">
        <f t="shared" ref="P2499:P2562" si="196">IFERROR(ROUND(E2499/L2499,2),0)</f>
        <v>80.55</v>
      </c>
      <c r="Q2499" s="13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3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3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3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3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3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3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3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3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3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3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3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3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3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3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3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3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3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3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3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3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3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3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3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3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3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3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3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3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3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3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3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3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3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3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3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3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3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3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3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3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3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3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>
        <f t="shared" si="196"/>
        <v>143</v>
      </c>
      <c r="Q2562" s="13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0</v>
      </c>
      <c r="P2563">
        <f t="shared" ref="P2563:P2626" si="201">IFERROR(ROUND(E2563/L2563,2),0)</f>
        <v>0</v>
      </c>
      <c r="Q2563" s="13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3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3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3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3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3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3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3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3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3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3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3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3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3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3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3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3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3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3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3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3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3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3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3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3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3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3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3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3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3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3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3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3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3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3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3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3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3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3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3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3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3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>
        <f t="shared" si="201"/>
        <v>31.82</v>
      </c>
      <c r="Q2626" s="13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956</v>
      </c>
      <c r="P2627">
        <f t="shared" ref="P2627:P2690" si="206">IFERROR(ROUND(E2627/L2627,2),0)</f>
        <v>27.58</v>
      </c>
      <c r="Q2627" s="13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3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3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3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3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3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3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3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3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3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3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3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3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3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3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3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3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3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3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3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3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3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3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3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3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3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3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3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3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3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3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3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3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3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>
        <f t="shared" si="206"/>
        <v>5.29</v>
      </c>
      <c r="Q2690" s="13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0</v>
      </c>
      <c r="P2691">
        <f t="shared" ref="P2691:P2754" si="211">IFERROR(ROUND(E2691/L2691,2),0)</f>
        <v>1</v>
      </c>
      <c r="Q2691" s="13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3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3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3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3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3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3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3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3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3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3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3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3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3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3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3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3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3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3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3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3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3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3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3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3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3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3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3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3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3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3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3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3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3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>
        <f t="shared" si="211"/>
        <v>39.29</v>
      </c>
      <c r="Q2754" s="13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19</v>
      </c>
      <c r="P2755">
        <f t="shared" ref="P2755:P2818" si="216">IFERROR(ROUND(E2755/L2755,2),0)</f>
        <v>47.5</v>
      </c>
      <c r="Q2755" s="13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3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3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3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3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3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3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3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3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3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3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3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3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3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3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3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3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3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3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3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3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3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3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3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3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3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3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3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3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3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3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3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3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3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3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3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3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3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>
        <f t="shared" si="216"/>
        <v>25.13</v>
      </c>
      <c r="Q2818" s="13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130</v>
      </c>
      <c r="P2819">
        <f t="shared" ref="P2819:P2882" si="221">IFERROR(ROUND(E2819/L2819,2),0)</f>
        <v>23.64</v>
      </c>
      <c r="Q2819" s="13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3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3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3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3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3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3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3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3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3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3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3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3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3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3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3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3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3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3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3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3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3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3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3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3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3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3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3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3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3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3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3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3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3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3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3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3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3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3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>
        <f t="shared" si="221"/>
        <v>96.55</v>
      </c>
      <c r="Q2882" s="13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0</v>
      </c>
      <c r="P2883">
        <f t="shared" ref="P2883:P2946" si="226">IFERROR(ROUND(E2883/L2883,2),0)</f>
        <v>0</v>
      </c>
      <c r="Q2883" s="13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3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3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3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3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3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3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3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3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3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3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3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3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3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3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3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3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3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3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3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3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3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3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3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3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3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3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3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3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3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3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3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3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3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3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3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3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3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3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3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3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3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3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3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3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3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3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3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3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3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3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3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3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3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3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3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3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3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3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3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3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3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>
        <f t="shared" si="226"/>
        <v>100</v>
      </c>
      <c r="Q2946" s="13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ROUND(E2947/D2947*100,0)</f>
        <v>0</v>
      </c>
      <c r="P2947">
        <f t="shared" ref="P2947:P3010" si="231">IFERROR(ROUND(E2947/L2947,2),0)</f>
        <v>0</v>
      </c>
      <c r="Q2947" s="13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3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3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3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3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3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3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3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3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3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3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3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3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3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3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3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3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3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3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3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3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3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3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3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3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3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3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3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3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3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3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3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3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3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3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3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3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3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3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3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3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3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3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3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3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3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3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3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3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3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3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3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3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3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3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3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3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3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>
        <f t="shared" si="231"/>
        <v>116.73</v>
      </c>
      <c r="Q3010" s="13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5">ROUND(E3011/D3011*100,0)</f>
        <v>120</v>
      </c>
      <c r="P3011">
        <f t="shared" ref="P3011:P3074" si="236">IFERROR(ROUND(E3011/L3011,2),0)</f>
        <v>233.9</v>
      </c>
      <c r="Q3011" s="13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3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3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3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3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3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3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3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3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3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3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3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3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3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3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3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3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3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3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3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3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3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3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3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3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3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3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3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3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3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3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3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3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3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3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3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3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3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3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3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3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3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3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3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3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3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3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3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3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3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3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3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3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3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3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3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3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5"/>
        <v>0</v>
      </c>
      <c r="P3074">
        <f t="shared" si="236"/>
        <v>1</v>
      </c>
      <c r="Q3074" s="13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0">ROUND(E3075/D3075*100,0)</f>
        <v>0</v>
      </c>
      <c r="P3075">
        <f t="shared" ref="P3075:P3138" si="241">IFERROR(ROUND(E3075/L3075,2),0)</f>
        <v>92.14</v>
      </c>
      <c r="Q3075" s="13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3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3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3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3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3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3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3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3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3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3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3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3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3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3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3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3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3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3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3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3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3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3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3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3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3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3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3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3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3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3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3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3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3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3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3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3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3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3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3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3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3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3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3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3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3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3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3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3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3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3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3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3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3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3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3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3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3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3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3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3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3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3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0"/>
        <v>128</v>
      </c>
      <c r="P3138">
        <f t="shared" si="241"/>
        <v>29.05</v>
      </c>
      <c r="Q3138" s="13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5">ROUND(E3139/D3139*100,0)</f>
        <v>3</v>
      </c>
      <c r="P3139">
        <f t="shared" ref="P3139:P3202" si="246">IFERROR(ROUND(E3139/L3139,2),0)</f>
        <v>50</v>
      </c>
      <c r="Q3139" s="13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3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3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3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3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3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3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3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3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3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3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3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3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3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3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3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3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3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3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3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3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3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3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3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3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3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3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3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3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3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3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3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3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3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3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3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3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3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3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3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3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3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3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3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3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3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3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3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3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3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3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3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3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3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3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3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3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3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3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3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3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3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3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5"/>
        <v>0</v>
      </c>
      <c r="P3202">
        <f t="shared" si="246"/>
        <v>1</v>
      </c>
      <c r="Q3202" s="13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0">ROUND(E3203/D3203*100,0)</f>
        <v>1</v>
      </c>
      <c r="P3203">
        <f t="shared" ref="P3203:P3266" si="251">IFERROR(ROUND(E3203/L3203,2),0)</f>
        <v>12.5</v>
      </c>
      <c r="Q3203" s="13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3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3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3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3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3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3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3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3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3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3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3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3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3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3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3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3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3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3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3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3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3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3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3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3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3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3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3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3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3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3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3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3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3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3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3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3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3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3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3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3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3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3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3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3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3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3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3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3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3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3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3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3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3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3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3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3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3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3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3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3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3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3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0"/>
        <v>103</v>
      </c>
      <c r="P3266">
        <f t="shared" si="251"/>
        <v>52.55</v>
      </c>
      <c r="Q3266" s="13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3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3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3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3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3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3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3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3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3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3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3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3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3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3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3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3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3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3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3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3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3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3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3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3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3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3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3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3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3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3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3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3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3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3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3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3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3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3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3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3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3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3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3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3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3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3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3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3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3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3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3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3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3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3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3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3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3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3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3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3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3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3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3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5"/>
        <v>146</v>
      </c>
      <c r="P3330">
        <f t="shared" si="256"/>
        <v>292.77999999999997</v>
      </c>
      <c r="Q3330" s="13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0">ROUND(E3331/D3331*100,0)</f>
        <v>117</v>
      </c>
      <c r="P3331">
        <f t="shared" ref="P3331:P3394" si="261">IFERROR(ROUND(E3331/L3331,2),0)</f>
        <v>44.92</v>
      </c>
      <c r="Q3331" s="13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3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3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3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3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3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3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3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3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3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3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3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3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3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3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3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3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3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3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3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3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3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3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3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3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3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3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3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3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3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3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3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3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3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3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3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3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3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3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3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3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3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3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3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3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3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3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3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3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3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3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3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3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3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3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3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3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3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3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3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3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3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3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0"/>
        <v>100</v>
      </c>
      <c r="P3394">
        <f t="shared" si="261"/>
        <v>41.67</v>
      </c>
      <c r="Q3394" s="13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5">ROUND(E3395/D3395*100,0)</f>
        <v>106</v>
      </c>
      <c r="P3395">
        <f t="shared" ref="P3395:P3458" si="266">IFERROR(ROUND(E3395/L3395,2),0)</f>
        <v>36.07</v>
      </c>
      <c r="Q3395" s="13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3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3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3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3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3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3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3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3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3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3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3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3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3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3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3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3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3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3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3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3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3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3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3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3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3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3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3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3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3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3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3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3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3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3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3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3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3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3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3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3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3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3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3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3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3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3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3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3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3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3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3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3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3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3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3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3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3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3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3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3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3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3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5"/>
        <v>191</v>
      </c>
      <c r="P3458">
        <f t="shared" si="266"/>
        <v>358.69</v>
      </c>
      <c r="Q3458" s="13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0">ROUND(E3459/D3459*100,0)</f>
        <v>140</v>
      </c>
      <c r="P3459">
        <f t="shared" ref="P3459:P3522" si="271">IFERROR(ROUND(E3459/L3459,2),0)</f>
        <v>50.98</v>
      </c>
      <c r="Q3459" s="13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3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3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3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3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3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3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3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3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3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3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3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3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3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3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3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3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3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3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3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3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3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3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3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3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3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3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3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3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3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3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3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3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3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3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3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3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3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3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3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3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3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3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3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3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3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3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3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3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3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3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3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3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3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3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3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3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3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3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3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3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3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3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0"/>
        <v>101</v>
      </c>
      <c r="P3522">
        <f t="shared" si="271"/>
        <v>95.95</v>
      </c>
      <c r="Q3522" s="13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5">ROUND(E3523/D3523*100,0)</f>
        <v>169</v>
      </c>
      <c r="P3523">
        <f t="shared" ref="P3523:P3586" si="276">IFERROR(ROUND(E3523/L3523,2),0)</f>
        <v>45.62</v>
      </c>
      <c r="Q3523" s="13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3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3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3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3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3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3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3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3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3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3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3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3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3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3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3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3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3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3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3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3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3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3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3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3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3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3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3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3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3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3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3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3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3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3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3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3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3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3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3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3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3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3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3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3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3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3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3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3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3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3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3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3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3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3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3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3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3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3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3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3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3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3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5"/>
        <v>116</v>
      </c>
      <c r="P3586">
        <f t="shared" si="276"/>
        <v>30.94</v>
      </c>
      <c r="Q3586" s="13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0">ROUND(E3587/D3587*100,0)</f>
        <v>119</v>
      </c>
      <c r="P3587">
        <f t="shared" ref="P3587:P3650" si="281">IFERROR(ROUND(E3587/L3587,2),0)</f>
        <v>176.09</v>
      </c>
      <c r="Q3587" s="13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3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3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3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3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3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3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3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3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3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3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3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3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3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3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3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3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3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3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3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3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3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3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3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3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3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3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3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3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3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3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3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3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3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3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3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3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3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3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3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3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3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3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3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3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3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3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3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3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3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3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3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3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3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3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3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3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3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3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3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3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3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3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0"/>
        <v>100</v>
      </c>
      <c r="P3650">
        <f t="shared" si="281"/>
        <v>550.04</v>
      </c>
      <c r="Q3650" s="13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5">ROUND(E3651/D3651*100,0)</f>
        <v>104</v>
      </c>
      <c r="P3651">
        <f t="shared" ref="P3651:P3714" si="286">IFERROR(ROUND(E3651/L3651,2),0)</f>
        <v>97.5</v>
      </c>
      <c r="Q3651" s="13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3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3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3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3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3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3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3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3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3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3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3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3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3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3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3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3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3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3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3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3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3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3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3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3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3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3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3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3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3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3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3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3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3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3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3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3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3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3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3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3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3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3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3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3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3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3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3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3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3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3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3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3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3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3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3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3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3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3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3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3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3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3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5"/>
        <v>154</v>
      </c>
      <c r="P3714">
        <f t="shared" si="286"/>
        <v>110.87</v>
      </c>
      <c r="Q3714" s="13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0">ROUND(E3715/D3715*100,0)</f>
        <v>102</v>
      </c>
      <c r="P3715">
        <f t="shared" ref="P3715:P3778" si="291">IFERROR(ROUND(E3715/L3715,2),0)</f>
        <v>106.84</v>
      </c>
      <c r="Q3715" s="13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3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3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3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3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3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3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3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3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3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3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3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3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3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3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3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3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3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3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3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3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3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3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3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3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3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3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3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3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3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3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3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3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3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3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3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3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3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3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3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3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3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3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3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3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3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3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3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3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3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3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3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3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3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3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3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3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3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3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3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3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3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3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0"/>
        <v>107</v>
      </c>
      <c r="P3778">
        <f t="shared" si="291"/>
        <v>90.82</v>
      </c>
      <c r="Q3778" s="13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5">ROUND(E3779/D3779*100,0)</f>
        <v>143</v>
      </c>
      <c r="P3779">
        <f t="shared" ref="P3779:P3842" si="296">IFERROR(ROUND(E3779/L3779,2),0)</f>
        <v>48.54</v>
      </c>
      <c r="Q3779" s="13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3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3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3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3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3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3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3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3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3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3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3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3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3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3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3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3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3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3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3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3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3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3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3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3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3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3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3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3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3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3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3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3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3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3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3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3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3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3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3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3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3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3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3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3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3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3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3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3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3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3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3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3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3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3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3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3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3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3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3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3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3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3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5"/>
        <v>6500</v>
      </c>
      <c r="P3842">
        <f t="shared" si="296"/>
        <v>21.67</v>
      </c>
      <c r="Q3842" s="13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0">ROUND(E3843/D3843*100,0)</f>
        <v>9</v>
      </c>
      <c r="P3843">
        <f t="shared" ref="P3843:P3906" si="301">IFERROR(ROUND(E3843/L3843,2),0)</f>
        <v>25.65</v>
      </c>
      <c r="Q3843" s="13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3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3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3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3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3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3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3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3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3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3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3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3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3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3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3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3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3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3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3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3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3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3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3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3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3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3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3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3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3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3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3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3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3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3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3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3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3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3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3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3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3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3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3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3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3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3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3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3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3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3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3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3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3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3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3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3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3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3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3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3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3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3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0"/>
        <v>0</v>
      </c>
      <c r="P3906">
        <f t="shared" si="301"/>
        <v>1.5</v>
      </c>
      <c r="Q3906" s="13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5">ROUND(E3907/D3907*100,0)</f>
        <v>12</v>
      </c>
      <c r="P3907">
        <f t="shared" ref="P3907:P3970" si="306">IFERROR(ROUND(E3907/L3907,2),0)</f>
        <v>24.71</v>
      </c>
      <c r="Q3907" s="13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3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3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3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3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3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3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3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3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3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3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3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3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3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3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3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3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3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3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3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3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3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3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3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3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3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3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3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3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3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3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3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3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3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3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3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3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3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3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3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3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3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3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3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3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3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3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3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3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3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3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3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3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3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3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3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3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3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3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3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3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3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3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5"/>
        <v>11</v>
      </c>
      <c r="P3970">
        <f t="shared" si="306"/>
        <v>47.91</v>
      </c>
      <c r="Q3970" s="13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0">ROUND(E3971/D3971*100,0)</f>
        <v>7</v>
      </c>
      <c r="P3971">
        <f t="shared" ref="P3971:P4034" si="311">IFERROR(ROUND(E3971/L3971,2),0)</f>
        <v>35.17</v>
      </c>
      <c r="Q3971" s="13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3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3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3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3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3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3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3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3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3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3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3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3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3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3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3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3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3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3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3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3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3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3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3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3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3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3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3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3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3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3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3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3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3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3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3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3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3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3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3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3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3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3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3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3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3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3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3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3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3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3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3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3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3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3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3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3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3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3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3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3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3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3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0"/>
        <v>7</v>
      </c>
      <c r="P4034">
        <f t="shared" si="311"/>
        <v>59</v>
      </c>
      <c r="Q4034" s="13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5">ROUND(E4035/D4035*100,0)</f>
        <v>26</v>
      </c>
      <c r="P4035">
        <f t="shared" ref="P4035:P4098" si="316">IFERROR(ROUND(E4035/L4035,2),0)</f>
        <v>65.34</v>
      </c>
      <c r="Q4035" s="13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3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3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3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3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3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3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3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3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3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3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3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3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3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3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3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3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3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3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3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3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3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3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3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3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3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3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3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3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3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3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3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3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3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3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3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3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3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3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3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3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3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3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3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3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3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3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3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3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3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3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3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3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3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3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3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3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3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3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3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3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3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3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5"/>
        <v>11</v>
      </c>
      <c r="P4098">
        <f t="shared" si="316"/>
        <v>80</v>
      </c>
      <c r="Q4098" s="13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ROUND(E4099/D4099*100,0)</f>
        <v>0</v>
      </c>
      <c r="P4099">
        <f t="shared" ref="P4099:P4115" si="321">IFERROR(ROUND(E4099/L4099,2),0)</f>
        <v>0</v>
      </c>
      <c r="Q4099" s="13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3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3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3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3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3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3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3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3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3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3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3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3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3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3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3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3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0EB11-1B88-4F5F-8F9E-B025EF29B52F}">
  <dimension ref="A1:H13"/>
  <sheetViews>
    <sheetView tabSelected="1" topLeftCell="A19" workbookViewId="0">
      <selection activeCell="B26" sqref="B26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20.85546875" bestFit="1" customWidth="1"/>
    <col min="6" max="6" width="17" bestFit="1" customWidth="1"/>
    <col min="7" max="7" width="20.42578125" bestFit="1" customWidth="1"/>
    <col min="8" max="8" width="19.85546875" bestFit="1" customWidth="1"/>
  </cols>
  <sheetData>
    <row r="1" spans="1:8" s="19" customFormat="1" x14ac:dyDescent="0.25">
      <c r="A1" s="19" t="s">
        <v>8380</v>
      </c>
      <c r="B1" s="19" t="s">
        <v>8381</v>
      </c>
      <c r="C1" s="19" t="s">
        <v>8382</v>
      </c>
      <c r="D1" s="19" t="s">
        <v>8399</v>
      </c>
      <c r="E1" s="19" t="s">
        <v>8383</v>
      </c>
      <c r="F1" s="19" t="s">
        <v>8384</v>
      </c>
      <c r="G1" s="19" t="s">
        <v>8385</v>
      </c>
      <c r="H1" s="19" t="s">
        <v>8386</v>
      </c>
    </row>
    <row r="2" spans="1:8" x14ac:dyDescent="0.25">
      <c r="A2" t="s">
        <v>8387</v>
      </c>
      <c r="B2">
        <f>COUNTIFS(Kickstarter!F:F, "successful",Kickstarter!D:D,"&lt;1000",Kickstarter!R:R,"plays")</f>
        <v>141</v>
      </c>
      <c r="C2">
        <f>COUNTIFS(Kickstarter!F:F, "failed",Kickstarter!D:D,"&lt;1000",Kickstarter!R:R,"plays")</f>
        <v>45</v>
      </c>
      <c r="D2">
        <f>COUNTIFS(Kickstarter!F:F, "canceled",Kickstarter!D:D,"&lt;1000",Kickstarter!R:R,"plays")</f>
        <v>0</v>
      </c>
      <c r="E2">
        <f>SUM(B2:D2)</f>
        <v>186</v>
      </c>
      <c r="F2" s="20">
        <f>B2/$E2</f>
        <v>0.75806451612903225</v>
      </c>
      <c r="G2" s="20">
        <f t="shared" ref="G2:H2" si="0">C2/$E2</f>
        <v>0.24193548387096775</v>
      </c>
      <c r="H2" s="20">
        <f t="shared" si="0"/>
        <v>0</v>
      </c>
    </row>
    <row r="3" spans="1:8" x14ac:dyDescent="0.25">
      <c r="A3" t="s">
        <v>8388</v>
      </c>
      <c r="B3">
        <f>COUNTIFS(Kickstarter!F:F, "successful",Kickstarter!D:D,"&gt;1000",Kickstarter!D:D,"&lt;5000",Kickstarter!R:R,"plays")</f>
        <v>341</v>
      </c>
      <c r="C3">
        <f>COUNTIFS(Kickstarter!F:F, "failed",Kickstarter!D:D,"&gt;1000",Kickstarter!D:D,"&lt;5000",Kickstarter!R:R,"plays")</f>
        <v>128</v>
      </c>
      <c r="D3">
        <f>COUNTIFS(Kickstarter!F:F, "canceled",Kickstarter!D:D,"&gt;1000",Kickstarter!D:D,"&lt;5000",Kickstarter!R:R,"plays")</f>
        <v>0</v>
      </c>
      <c r="E3">
        <f t="shared" ref="E3:E13" si="1">SUM(B3:D3)</f>
        <v>469</v>
      </c>
      <c r="F3" s="20">
        <f t="shared" ref="F3:F13" si="2">B3/$E3</f>
        <v>0.72707889125799574</v>
      </c>
      <c r="G3" s="20">
        <f t="shared" ref="G3:G13" si="3">C3/$E3</f>
        <v>0.27292110874200426</v>
      </c>
      <c r="H3" s="20">
        <f t="shared" ref="H3:H13" si="4">D3/$E3</f>
        <v>0</v>
      </c>
    </row>
    <row r="4" spans="1:8" x14ac:dyDescent="0.25">
      <c r="A4" t="s">
        <v>8389</v>
      </c>
      <c r="B4">
        <f>COUNTIFS(Kickstarter!F:F, "successful",Kickstarter!D:D,"&gt;4999",Kickstarter!D:D,"&lt;10000",Kickstarter!R:R,"plays")</f>
        <v>93</v>
      </c>
      <c r="C4">
        <f>COUNTIFS(Kickstarter!F:F, "failed",Kickstarter!D:D,"&gt;4999",Kickstarter!D:D,"&lt;10000",Kickstarter!R:R,"plays")</f>
        <v>76</v>
      </c>
      <c r="D4">
        <f>COUNTIFS(Kickstarter!F:F, "canceled",Kickstarter!D:D,"&gt;4999",Kickstarter!D:D,"&lt;10000",Kickstarter!R:R,"plays")</f>
        <v>0</v>
      </c>
      <c r="E4">
        <f t="shared" si="1"/>
        <v>169</v>
      </c>
      <c r="F4" s="20">
        <f t="shared" si="2"/>
        <v>0.55029585798816572</v>
      </c>
      <c r="G4" s="20">
        <f t="shared" si="3"/>
        <v>0.44970414201183434</v>
      </c>
      <c r="H4" s="20">
        <f t="shared" si="4"/>
        <v>0</v>
      </c>
    </row>
    <row r="5" spans="1:8" x14ac:dyDescent="0.25">
      <c r="A5" t="s">
        <v>8390</v>
      </c>
      <c r="B5">
        <f>COUNTIFS(Kickstarter!F:F, "successful",Kickstarter!D:D,"&gt;9999",Kickstarter!D:D,"&lt;15000",Kickstarter!R:R,"plays")</f>
        <v>39</v>
      </c>
      <c r="C5">
        <f>COUNTIFS(Kickstarter!F:F, "failed",Kickstarter!D:D,"&gt;9999",Kickstarter!D:D,"&lt;15000",Kickstarter!R:R,"plays")</f>
        <v>33</v>
      </c>
      <c r="D5">
        <f>COUNTIFS(Kickstarter!F:F, "canceled",Kickstarter!D:D,"&gt;9999",Kickstarter!D:D,"&lt;15000",Kickstarter!R:R,"plays")</f>
        <v>0</v>
      </c>
      <c r="E5">
        <f t="shared" si="1"/>
        <v>72</v>
      </c>
      <c r="F5" s="20">
        <f t="shared" si="2"/>
        <v>0.54166666666666663</v>
      </c>
      <c r="G5" s="20">
        <f t="shared" si="3"/>
        <v>0.45833333333333331</v>
      </c>
      <c r="H5" s="20">
        <f t="shared" si="4"/>
        <v>0</v>
      </c>
    </row>
    <row r="6" spans="1:8" x14ac:dyDescent="0.25">
      <c r="A6" t="s">
        <v>8391</v>
      </c>
      <c r="B6">
        <f>COUNTIFS(Kickstarter!F:F, "successful",Kickstarter!D:D,"&gt;14999",Kickstarter!D:D,"&lt;20000",Kickstarter!R:R,"plays")</f>
        <v>12</v>
      </c>
      <c r="C6">
        <f>COUNTIFS(Kickstarter!F:F, "failed",Kickstarter!D:D,"&gt;14999",Kickstarter!D:D,"&lt;20000",Kickstarter!R:R,"plays")</f>
        <v>12</v>
      </c>
      <c r="D6">
        <f>COUNTIFS(Kickstarter!F:F, "canceled",Kickstarter!D:D,"&gt;14999",Kickstarter!D:D,"&lt;20000",Kickstarter!R:R,"plays")</f>
        <v>0</v>
      </c>
      <c r="E6">
        <f t="shared" si="1"/>
        <v>24</v>
      </c>
      <c r="F6" s="20">
        <f t="shared" si="2"/>
        <v>0.5</v>
      </c>
      <c r="G6" s="20">
        <f t="shared" si="3"/>
        <v>0.5</v>
      </c>
      <c r="H6" s="20">
        <f t="shared" si="4"/>
        <v>0</v>
      </c>
    </row>
    <row r="7" spans="1:8" x14ac:dyDescent="0.25">
      <c r="A7" t="s">
        <v>8392</v>
      </c>
      <c r="B7">
        <f>COUNTIFS(Kickstarter!F:F, "successful",Kickstarter!D:D,"&gt;19999",Kickstarter!D:D,"&lt;25000",Kickstarter!R:R,"plays")</f>
        <v>9</v>
      </c>
      <c r="C7">
        <f>COUNTIFS(Kickstarter!F:F, "failed",Kickstarter!D:D,"&gt;19999",Kickstarter!D:D,"&lt;25000",Kickstarter!R:R,"plays")</f>
        <v>11</v>
      </c>
      <c r="D7">
        <f>COUNTIFS(Kickstarter!F:F, "canceled",Kickstarter!D:D,"&gt;19999",Kickstarter!D:D,"&lt;25000",Kickstarter!R:R,"plays")</f>
        <v>0</v>
      </c>
      <c r="E7">
        <f t="shared" si="1"/>
        <v>20</v>
      </c>
      <c r="F7" s="20">
        <f t="shared" si="2"/>
        <v>0.45</v>
      </c>
      <c r="G7" s="20">
        <f t="shared" si="3"/>
        <v>0.55000000000000004</v>
      </c>
      <c r="H7" s="20">
        <f t="shared" si="4"/>
        <v>0</v>
      </c>
    </row>
    <row r="8" spans="1:8" x14ac:dyDescent="0.25">
      <c r="A8" t="s">
        <v>8393</v>
      </c>
      <c r="B8">
        <f>COUNTIFS(Kickstarter!F:F, "successful",Kickstarter!D:D,"&gt;24999",Kickstarter!D:D,"&lt;30000",Kickstarter!R:R,"plays")</f>
        <v>1</v>
      </c>
      <c r="C8">
        <f>COUNTIFS(Kickstarter!F:F, "failed",Kickstarter!D:D,"&gt;24999",Kickstarter!D:D,"&lt;30000",Kickstarter!R:R,"plays")</f>
        <v>4</v>
      </c>
      <c r="D8">
        <f>COUNTIFS(Kickstarter!F:F, "canceled",Kickstarter!D:D,"&gt;24999",Kickstarter!D:D,"&lt;30000",Kickstarter!R:R,"plays")</f>
        <v>0</v>
      </c>
      <c r="E8">
        <f t="shared" si="1"/>
        <v>5</v>
      </c>
      <c r="F8" s="20">
        <f t="shared" si="2"/>
        <v>0.2</v>
      </c>
      <c r="G8" s="20">
        <f t="shared" si="3"/>
        <v>0.8</v>
      </c>
      <c r="H8" s="20">
        <f t="shared" si="4"/>
        <v>0</v>
      </c>
    </row>
    <row r="9" spans="1:8" x14ac:dyDescent="0.25">
      <c r="A9" t="s">
        <v>8394</v>
      </c>
      <c r="B9">
        <f>COUNTIFS(Kickstarter!F:F, "successful",Kickstarter!D:D,"&gt;29999",Kickstarter!D:D,"&lt;35000",Kickstarter!R:R,"plays")</f>
        <v>3</v>
      </c>
      <c r="C9">
        <f>COUNTIFS(Kickstarter!F:F, "failed",Kickstarter!D:D,"&gt;29999",Kickstarter!D:D,"&lt;35000",Kickstarter!R:R,"plays")</f>
        <v>8</v>
      </c>
      <c r="D9">
        <f>COUNTIFS(Kickstarter!F:F, "canceled",Kickstarter!D:D,"&gt;29999",Kickstarter!D:D,"&lt;35000",Kickstarter!R:R,"plays")</f>
        <v>0</v>
      </c>
      <c r="E9">
        <f t="shared" si="1"/>
        <v>11</v>
      </c>
      <c r="F9" s="20">
        <f t="shared" si="2"/>
        <v>0.27272727272727271</v>
      </c>
      <c r="G9" s="20">
        <f t="shared" si="3"/>
        <v>0.72727272727272729</v>
      </c>
      <c r="H9" s="20">
        <f t="shared" si="4"/>
        <v>0</v>
      </c>
    </row>
    <row r="10" spans="1:8" x14ac:dyDescent="0.25">
      <c r="A10" t="s">
        <v>8395</v>
      </c>
      <c r="B10">
        <f>COUNTIFS(Kickstarter!F:F, "successful",Kickstarter!D:D,"&gt;34999",Kickstarter!D:D,"&lt;40000",Kickstarter!R:R,"plays")</f>
        <v>4</v>
      </c>
      <c r="C10">
        <f>COUNTIFS(Kickstarter!F:F, "failed",Kickstarter!D:D,"&gt;34999",Kickstarter!D:D,"&lt;40000",Kickstarter!R:R,"plays")</f>
        <v>2</v>
      </c>
      <c r="D10">
        <f>COUNTIFS(Kickstarter!F:F, "canceled",Kickstarter!D:D,"&gt;34999",Kickstarter!D:D,"&lt;40000",Kickstarter!R:R,"plays")</f>
        <v>0</v>
      </c>
      <c r="E10">
        <f t="shared" si="1"/>
        <v>6</v>
      </c>
      <c r="F10" s="20">
        <f t="shared" si="2"/>
        <v>0.66666666666666663</v>
      </c>
      <c r="G10" s="20">
        <f t="shared" si="3"/>
        <v>0.33333333333333331</v>
      </c>
      <c r="H10" s="20">
        <f t="shared" si="4"/>
        <v>0</v>
      </c>
    </row>
    <row r="11" spans="1:8" x14ac:dyDescent="0.25">
      <c r="A11" t="s">
        <v>8396</v>
      </c>
      <c r="B11">
        <f>COUNTIFS(Kickstarter!F:F, "successful",Kickstarter!D:D,"&gt;39999",Kickstarter!D:D,"&lt;45000",Kickstarter!R:R,"plays")</f>
        <v>2</v>
      </c>
      <c r="C11">
        <f>COUNTIFS(Kickstarter!F:F, "failed",Kickstarter!D:D,"&gt;39999",Kickstarter!D:D,"&lt;45000",Kickstarter!R:R,"plays")</f>
        <v>1</v>
      </c>
      <c r="D11">
        <f>COUNTIFS(Kickstarter!F:F, "canceled",Kickstarter!D:D,"&gt;39999",Kickstarter!D:D,"&lt;45000",Kickstarter!R:R,"plays")</f>
        <v>0</v>
      </c>
      <c r="E11">
        <f t="shared" si="1"/>
        <v>3</v>
      </c>
      <c r="F11" s="20">
        <f t="shared" si="2"/>
        <v>0.66666666666666663</v>
      </c>
      <c r="G11" s="20">
        <f t="shared" si="3"/>
        <v>0.33333333333333331</v>
      </c>
      <c r="H11" s="20">
        <f t="shared" si="4"/>
        <v>0</v>
      </c>
    </row>
    <row r="12" spans="1:8" x14ac:dyDescent="0.25">
      <c r="A12" t="s">
        <v>8397</v>
      </c>
      <c r="B12">
        <f>COUNTIFS(Kickstarter!F:F, "successful",Kickstarter!D:D,"&gt;44999",Kickstarter!D:D,"&lt;50000",Kickstarter!R:R,"plays")</f>
        <v>0</v>
      </c>
      <c r="C12">
        <f>COUNTIFS(Kickstarter!F:F, "failed",Kickstarter!D:D,"&gt;44999",Kickstarter!D:D,"&lt;50000",Kickstarter!R:R,"plays")</f>
        <v>1</v>
      </c>
      <c r="D12">
        <f>COUNTIFS(Kickstarter!F:F, "canceled",Kickstarter!D:D,"&gt;44999",Kickstarter!D:D,"&lt;50000",Kickstarter!R:R,"plays")</f>
        <v>0</v>
      </c>
      <c r="E12">
        <f t="shared" si="1"/>
        <v>1</v>
      </c>
      <c r="F12" s="20">
        <f t="shared" si="2"/>
        <v>0</v>
      </c>
      <c r="G12" s="20">
        <f t="shared" si="3"/>
        <v>1</v>
      </c>
      <c r="H12" s="20">
        <f t="shared" si="4"/>
        <v>0</v>
      </c>
    </row>
    <row r="13" spans="1:8" x14ac:dyDescent="0.25">
      <c r="A13" t="s">
        <v>8398</v>
      </c>
      <c r="B13">
        <f>COUNTIFS(Kickstarter!F:F, "successful",Kickstarter!D:D,"&gt;50000",Kickstarter!R:R,"plays")</f>
        <v>2</v>
      </c>
      <c r="C13">
        <f>COUNTIFS(Kickstarter!F:F, "failed",Kickstarter!D:D,"&gt;50000",Kickstarter!R:R,"plays")</f>
        <v>10</v>
      </c>
      <c r="D13">
        <f>COUNTIFS(Kickstarter!F:F, "canceled",Kickstarter!D:D,"&gt;50000",Kickstarter!R:R,"plays")</f>
        <v>0</v>
      </c>
      <c r="E13">
        <f t="shared" si="1"/>
        <v>12</v>
      </c>
      <c r="F13" s="20">
        <f t="shared" si="2"/>
        <v>0.16666666666666666</v>
      </c>
      <c r="G13" s="20">
        <f t="shared" si="3"/>
        <v>0.83333333333333337</v>
      </c>
      <c r="H13" s="20">
        <f t="shared" si="4"/>
        <v>0</v>
      </c>
    </row>
  </sheetData>
  <phoneticPr fontId="4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Subcategory Statistics</vt:lpstr>
      <vt:lpstr>Outcomes Based on Launch Date</vt:lpstr>
      <vt:lpstr>Theater Outcomes by Launch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</cp:lastModifiedBy>
  <dcterms:created xsi:type="dcterms:W3CDTF">2017-04-20T15:17:24Z</dcterms:created>
  <dcterms:modified xsi:type="dcterms:W3CDTF">2021-09-03T02:24:09Z</dcterms:modified>
</cp:coreProperties>
</file>