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restrepo\Dropbox\Courses\SE211\211 21\Homework\HW5\"/>
    </mc:Choice>
  </mc:AlternateContent>
  <xr:revisionPtr revIDLastSave="0" documentId="8_{902B5F7A-A674-439C-824A-377710950216}" xr6:coauthVersionLast="46" xr6:coauthVersionMax="46" xr10:uidLastSave="{00000000-0000-0000-0000-000000000000}"/>
  <bookViews>
    <workbookView xWindow="38290" yWindow="-110" windowWidth="38620" windowHeight="21220" tabRatio="849" activeTab="2" xr2:uid="{00000000-000D-0000-FFFF-FFFF00000000}"/>
  </bookViews>
  <sheets>
    <sheet name="ID (X) (30&quot;)" sheetId="1" r:id="rId1"/>
    <sheet name="ID (Y) (30&quot;)" sheetId="5" r:id="rId2"/>
    <sheet name="BE Calcs" sheetId="7" r:id="rId3"/>
    <sheet name="c over Lw1 (Mu neg)" sheetId="2" r:id="rId4"/>
    <sheet name="c over Lw1 (Mu pos)" sheetId="4" r:id="rId5"/>
    <sheet name="Calculations" sheetId="6" r:id="rId6"/>
    <sheet name="ID (MX) (30&quot;)" sheetId="14" r:id="rId7"/>
    <sheet name="Working" sheetId="10" r:id="rId8"/>
  </sheets>
  <definedNames>
    <definedName name="_xlnm.Print_Area" localSheetId="6">'ID (MX) (30")'!$A$1:$U$434</definedName>
    <definedName name="_xlnm.Print_Area" localSheetId="0">'ID (X) (30")'!$A$1:$AE$433</definedName>
    <definedName name="_xlnm.Print_Area" localSheetId="1">'ID (Y) (30")'!$A$1:$Z$253</definedName>
    <definedName name="_xlnm.Print_Titles" localSheetId="5">Calculations!$1:$1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7" l="1"/>
  <c r="F15" i="7" s="1"/>
  <c r="F16" i="7" s="1"/>
  <c r="F5" i="7"/>
  <c r="F6" i="7" s="1"/>
  <c r="F7" i="7" s="1"/>
  <c r="D7" i="14"/>
  <c r="X10" i="14"/>
  <c r="X11" i="14"/>
  <c r="X12" i="14"/>
  <c r="X9" i="14"/>
  <c r="V12" i="14" l="1"/>
  <c r="V11" i="14"/>
  <c r="V10" i="14"/>
  <c r="V9" i="14"/>
  <c r="W41" i="14" s="1"/>
  <c r="I27" i="6" l="1"/>
  <c r="I14" i="6"/>
  <c r="D28" i="14"/>
  <c r="D27" i="14"/>
  <c r="D23" i="14"/>
  <c r="D22" i="14"/>
  <c r="D21" i="14"/>
  <c r="D18" i="14"/>
  <c r="D19" i="14" s="1"/>
  <c r="D16" i="14"/>
  <c r="C51" i="14" s="1"/>
  <c r="A15" i="14"/>
  <c r="C45" i="14" l="1"/>
  <c r="D45" i="14" s="1"/>
  <c r="E51" i="14"/>
  <c r="D51" i="14"/>
  <c r="C39" i="14"/>
  <c r="C42" i="14"/>
  <c r="C63" i="14"/>
  <c r="P63" i="14" s="1"/>
  <c r="C64" i="14"/>
  <c r="P64" i="14" s="1"/>
  <c r="C72" i="14"/>
  <c r="E45" i="14"/>
  <c r="D29" i="14"/>
  <c r="D31" i="14" s="1"/>
  <c r="C41" i="14"/>
  <c r="P45" i="14"/>
  <c r="C60" i="14"/>
  <c r="C76" i="14"/>
  <c r="P76" i="14" s="1"/>
  <c r="C55" i="14"/>
  <c r="P55" i="14" s="1"/>
  <c r="C44" i="14"/>
  <c r="P44" i="14" s="1"/>
  <c r="C47" i="14"/>
  <c r="C37" i="14"/>
  <c r="C78" i="14"/>
  <c r="C74" i="14"/>
  <c r="P74" i="14" s="1"/>
  <c r="C70" i="14"/>
  <c r="C66" i="14"/>
  <c r="C62" i="14"/>
  <c r="C54" i="14"/>
  <c r="P54" i="14" s="1"/>
  <c r="C50" i="14"/>
  <c r="P51" i="14"/>
  <c r="P39" i="14"/>
  <c r="C77" i="14"/>
  <c r="P77" i="14" s="1"/>
  <c r="C73" i="14"/>
  <c r="P73" i="14" s="1"/>
  <c r="C69" i="14"/>
  <c r="C65" i="14"/>
  <c r="C61" i="14"/>
  <c r="P61" i="14" s="1"/>
  <c r="C53" i="14"/>
  <c r="P53" i="14" s="1"/>
  <c r="P50" i="14"/>
  <c r="C75" i="14"/>
  <c r="P75" i="14" s="1"/>
  <c r="C71" i="14"/>
  <c r="C67" i="14"/>
  <c r="P67" i="14" s="1"/>
  <c r="C40" i="14"/>
  <c r="P40" i="14" s="1"/>
  <c r="C43" i="14"/>
  <c r="C46" i="14"/>
  <c r="C38" i="14"/>
  <c r="P38" i="14" s="1"/>
  <c r="C48" i="14"/>
  <c r="P48" i="14" s="1"/>
  <c r="C49" i="14"/>
  <c r="P49" i="14" s="1"/>
  <c r="C52" i="14"/>
  <c r="C68" i="14"/>
  <c r="P68" i="14" s="1"/>
  <c r="D62" i="14" l="1"/>
  <c r="E62" i="14"/>
  <c r="E76" i="14"/>
  <c r="D76" i="14"/>
  <c r="D41" i="14"/>
  <c r="E41" i="14"/>
  <c r="I51" i="14"/>
  <c r="L51" i="14" s="1"/>
  <c r="O51" i="14" s="1"/>
  <c r="H51" i="14"/>
  <c r="K51" i="14" s="1"/>
  <c r="N51" i="14" s="1"/>
  <c r="G51" i="14"/>
  <c r="J51" i="14" s="1"/>
  <c r="M51" i="14" s="1"/>
  <c r="F51" i="14"/>
  <c r="E65" i="14"/>
  <c r="D65" i="14"/>
  <c r="D66" i="14"/>
  <c r="E66" i="14"/>
  <c r="P65" i="14"/>
  <c r="E42" i="14"/>
  <c r="D42" i="14"/>
  <c r="E52" i="14"/>
  <c r="D52" i="14"/>
  <c r="E60" i="14"/>
  <c r="D60" i="14"/>
  <c r="D46" i="14"/>
  <c r="E46" i="14"/>
  <c r="E71" i="14"/>
  <c r="D71" i="14"/>
  <c r="P66" i="14"/>
  <c r="E73" i="14"/>
  <c r="D73" i="14"/>
  <c r="D74" i="14"/>
  <c r="E74" i="14"/>
  <c r="P52" i="14"/>
  <c r="E64" i="14"/>
  <c r="D64" i="14"/>
  <c r="D39" i="14"/>
  <c r="E39" i="14"/>
  <c r="P62" i="14"/>
  <c r="D70" i="14"/>
  <c r="E70" i="14"/>
  <c r="E75" i="14"/>
  <c r="D75" i="14"/>
  <c r="P70" i="14"/>
  <c r="E77" i="14"/>
  <c r="D77" i="14"/>
  <c r="P71" i="14"/>
  <c r="D78" i="14"/>
  <c r="E78" i="14"/>
  <c r="P41" i="14"/>
  <c r="I45" i="14"/>
  <c r="L45" i="14" s="1"/>
  <c r="O45" i="14" s="1"/>
  <c r="H45" i="14"/>
  <c r="K45" i="14" s="1"/>
  <c r="N45" i="14" s="1"/>
  <c r="G45" i="14"/>
  <c r="J45" i="14" s="1"/>
  <c r="M45" i="14" s="1"/>
  <c r="F45" i="14"/>
  <c r="D63" i="14"/>
  <c r="E63" i="14"/>
  <c r="D24" i="14"/>
  <c r="D48" i="14"/>
  <c r="E48" i="14"/>
  <c r="E49" i="14"/>
  <c r="D49" i="14"/>
  <c r="E69" i="14"/>
  <c r="D69" i="14"/>
  <c r="D43" i="14"/>
  <c r="E43" i="14"/>
  <c r="D40" i="14"/>
  <c r="E40" i="14"/>
  <c r="D50" i="14"/>
  <c r="E50" i="14"/>
  <c r="D44" i="14"/>
  <c r="E44" i="14"/>
  <c r="P60" i="14"/>
  <c r="E67" i="14"/>
  <c r="D67" i="14"/>
  <c r="E47" i="14"/>
  <c r="D47" i="14"/>
  <c r="E72" i="14"/>
  <c r="D72" i="14"/>
  <c r="E68" i="14"/>
  <c r="D68" i="14"/>
  <c r="E38" i="14"/>
  <c r="D38" i="14"/>
  <c r="P42" i="14"/>
  <c r="P78" i="14"/>
  <c r="P43" i="14"/>
  <c r="P69" i="14"/>
  <c r="P46" i="14"/>
  <c r="E53" i="14"/>
  <c r="D53" i="14"/>
  <c r="P47" i="14"/>
  <c r="E54" i="14"/>
  <c r="D54" i="14"/>
  <c r="P72" i="14"/>
  <c r="E37" i="14"/>
  <c r="D37" i="14"/>
  <c r="E55" i="14"/>
  <c r="D55" i="14"/>
  <c r="E61" i="14"/>
  <c r="D61" i="14"/>
  <c r="I9" i="10"/>
  <c r="R45" i="14" l="1"/>
  <c r="U45" i="14" s="1"/>
  <c r="R51" i="14"/>
  <c r="U51" i="14" s="1"/>
  <c r="H38" i="14"/>
  <c r="K38" i="14" s="1"/>
  <c r="N38" i="14" s="1"/>
  <c r="I38" i="14"/>
  <c r="L38" i="14" s="1"/>
  <c r="O38" i="14" s="1"/>
  <c r="G38" i="14"/>
  <c r="J38" i="14" s="1"/>
  <c r="M38" i="14" s="1"/>
  <c r="F38" i="14"/>
  <c r="H50" i="14"/>
  <c r="K50" i="14" s="1"/>
  <c r="N50" i="14" s="1"/>
  <c r="I50" i="14"/>
  <c r="L50" i="14" s="1"/>
  <c r="O50" i="14" s="1"/>
  <c r="G50" i="14"/>
  <c r="J50" i="14" s="1"/>
  <c r="M50" i="14" s="1"/>
  <c r="F50" i="14"/>
  <c r="I78" i="14"/>
  <c r="L78" i="14" s="1"/>
  <c r="O78" i="14" s="1"/>
  <c r="H78" i="14"/>
  <c r="K78" i="14" s="1"/>
  <c r="N78" i="14" s="1"/>
  <c r="G78" i="14"/>
  <c r="J78" i="14" s="1"/>
  <c r="M78" i="14" s="1"/>
  <c r="F78" i="14"/>
  <c r="H64" i="14"/>
  <c r="K64" i="14" s="1"/>
  <c r="N64" i="14" s="1"/>
  <c r="G64" i="14"/>
  <c r="J64" i="14" s="1"/>
  <c r="M64" i="14" s="1"/>
  <c r="F64" i="14"/>
  <c r="I64" i="14"/>
  <c r="L64" i="14" s="1"/>
  <c r="O64" i="14" s="1"/>
  <c r="G60" i="14"/>
  <c r="J60" i="14" s="1"/>
  <c r="M60" i="14" s="1"/>
  <c r="F60" i="14"/>
  <c r="I60" i="14"/>
  <c r="L60" i="14" s="1"/>
  <c r="O60" i="14" s="1"/>
  <c r="H60" i="14"/>
  <c r="K60" i="14" s="1"/>
  <c r="N60" i="14" s="1"/>
  <c r="I66" i="14"/>
  <c r="L66" i="14" s="1"/>
  <c r="O66" i="14" s="1"/>
  <c r="H66" i="14"/>
  <c r="K66" i="14" s="1"/>
  <c r="N66" i="14" s="1"/>
  <c r="G66" i="14"/>
  <c r="J66" i="14" s="1"/>
  <c r="M66" i="14" s="1"/>
  <c r="F66" i="14"/>
  <c r="Q51" i="14"/>
  <c r="T51" i="14" s="1"/>
  <c r="I53" i="14"/>
  <c r="L53" i="14" s="1"/>
  <c r="O53" i="14" s="1"/>
  <c r="G53" i="14"/>
  <c r="J53" i="14" s="1"/>
  <c r="M53" i="14" s="1"/>
  <c r="H53" i="14"/>
  <c r="K53" i="14" s="1"/>
  <c r="N53" i="14" s="1"/>
  <c r="F53" i="14"/>
  <c r="I63" i="14"/>
  <c r="L63" i="14" s="1"/>
  <c r="O63" i="14" s="1"/>
  <c r="H63" i="14"/>
  <c r="K63" i="14" s="1"/>
  <c r="N63" i="14" s="1"/>
  <c r="G63" i="14"/>
  <c r="J63" i="14" s="1"/>
  <c r="M63" i="14" s="1"/>
  <c r="F63" i="14"/>
  <c r="I71" i="14"/>
  <c r="L71" i="14" s="1"/>
  <c r="O71" i="14" s="1"/>
  <c r="H71" i="14"/>
  <c r="K71" i="14" s="1"/>
  <c r="N71" i="14" s="1"/>
  <c r="G71" i="14"/>
  <c r="J71" i="14" s="1"/>
  <c r="M71" i="14" s="1"/>
  <c r="F71" i="14"/>
  <c r="H68" i="14"/>
  <c r="K68" i="14" s="1"/>
  <c r="N68" i="14" s="1"/>
  <c r="G68" i="14"/>
  <c r="J68" i="14" s="1"/>
  <c r="M68" i="14" s="1"/>
  <c r="F68" i="14"/>
  <c r="I68" i="14"/>
  <c r="L68" i="14" s="1"/>
  <c r="O68" i="14" s="1"/>
  <c r="F69" i="14"/>
  <c r="G69" i="14"/>
  <c r="J69" i="14" s="1"/>
  <c r="M69" i="14" s="1"/>
  <c r="I69" i="14"/>
  <c r="L69" i="14" s="1"/>
  <c r="O69" i="14" s="1"/>
  <c r="H69" i="14"/>
  <c r="K69" i="14" s="1"/>
  <c r="N69" i="14" s="1"/>
  <c r="H43" i="14"/>
  <c r="K43" i="14" s="1"/>
  <c r="N43" i="14" s="1"/>
  <c r="F43" i="14"/>
  <c r="G43" i="14"/>
  <c r="J43" i="14" s="1"/>
  <c r="M43" i="14" s="1"/>
  <c r="I43" i="14"/>
  <c r="L43" i="14" s="1"/>
  <c r="O43" i="14" s="1"/>
  <c r="F40" i="14"/>
  <c r="I40" i="14"/>
  <c r="L40" i="14" s="1"/>
  <c r="O40" i="14" s="1"/>
  <c r="H40" i="14"/>
  <c r="K40" i="14" s="1"/>
  <c r="N40" i="14" s="1"/>
  <c r="G40" i="14"/>
  <c r="J40" i="14" s="1"/>
  <c r="M40" i="14" s="1"/>
  <c r="I70" i="14"/>
  <c r="L70" i="14" s="1"/>
  <c r="O70" i="14" s="1"/>
  <c r="H70" i="14"/>
  <c r="K70" i="14" s="1"/>
  <c r="N70" i="14" s="1"/>
  <c r="G70" i="14"/>
  <c r="J70" i="14" s="1"/>
  <c r="M70" i="14" s="1"/>
  <c r="F70" i="14"/>
  <c r="I37" i="14"/>
  <c r="L37" i="14" s="1"/>
  <c r="O37" i="14" s="1"/>
  <c r="G37" i="14"/>
  <c r="J37" i="14" s="1"/>
  <c r="M37" i="14" s="1"/>
  <c r="H37" i="14"/>
  <c r="K37" i="14" s="1"/>
  <c r="N37" i="14" s="1"/>
  <c r="F37" i="14"/>
  <c r="I67" i="14"/>
  <c r="L67" i="14" s="1"/>
  <c r="O67" i="14" s="1"/>
  <c r="H67" i="14"/>
  <c r="K67" i="14" s="1"/>
  <c r="N67" i="14" s="1"/>
  <c r="G67" i="14"/>
  <c r="J67" i="14" s="1"/>
  <c r="M67" i="14" s="1"/>
  <c r="F67" i="14"/>
  <c r="I74" i="14"/>
  <c r="L74" i="14" s="1"/>
  <c r="O74" i="14" s="1"/>
  <c r="H74" i="14"/>
  <c r="K74" i="14" s="1"/>
  <c r="N74" i="14" s="1"/>
  <c r="G74" i="14"/>
  <c r="J74" i="14" s="1"/>
  <c r="M74" i="14" s="1"/>
  <c r="F74" i="14"/>
  <c r="H41" i="14"/>
  <c r="K41" i="14" s="1"/>
  <c r="N41" i="14" s="1"/>
  <c r="G41" i="14"/>
  <c r="J41" i="14" s="1"/>
  <c r="M41" i="14" s="1"/>
  <c r="F41" i="14"/>
  <c r="I41" i="14"/>
  <c r="L41" i="14" s="1"/>
  <c r="O41" i="14" s="1"/>
  <c r="F61" i="14"/>
  <c r="I61" i="14"/>
  <c r="L61" i="14" s="1"/>
  <c r="O61" i="14" s="1"/>
  <c r="H61" i="14"/>
  <c r="K61" i="14" s="1"/>
  <c r="N61" i="14" s="1"/>
  <c r="G61" i="14"/>
  <c r="J61" i="14" s="1"/>
  <c r="M61" i="14" s="1"/>
  <c r="I75" i="14"/>
  <c r="L75" i="14" s="1"/>
  <c r="O75" i="14" s="1"/>
  <c r="H75" i="14"/>
  <c r="K75" i="14" s="1"/>
  <c r="N75" i="14" s="1"/>
  <c r="G75" i="14"/>
  <c r="J75" i="14" s="1"/>
  <c r="M75" i="14" s="1"/>
  <c r="F75" i="14"/>
  <c r="I62" i="14"/>
  <c r="L62" i="14" s="1"/>
  <c r="O62" i="14" s="1"/>
  <c r="H62" i="14"/>
  <c r="K62" i="14" s="1"/>
  <c r="N62" i="14" s="1"/>
  <c r="G62" i="14"/>
  <c r="J62" i="14" s="1"/>
  <c r="M62" i="14" s="1"/>
  <c r="F62" i="14"/>
  <c r="I55" i="14"/>
  <c r="L55" i="14" s="1"/>
  <c r="O55" i="14" s="1"/>
  <c r="H55" i="14"/>
  <c r="K55" i="14" s="1"/>
  <c r="N55" i="14" s="1"/>
  <c r="G55" i="14"/>
  <c r="J55" i="14" s="1"/>
  <c r="M55" i="14" s="1"/>
  <c r="F55" i="14"/>
  <c r="H46" i="14"/>
  <c r="K46" i="14" s="1"/>
  <c r="N46" i="14" s="1"/>
  <c r="G46" i="14"/>
  <c r="J46" i="14" s="1"/>
  <c r="M46" i="14" s="1"/>
  <c r="F46" i="14"/>
  <c r="I46" i="14"/>
  <c r="L46" i="14" s="1"/>
  <c r="O46" i="14" s="1"/>
  <c r="H72" i="14"/>
  <c r="K72" i="14" s="1"/>
  <c r="N72" i="14" s="1"/>
  <c r="G72" i="14"/>
  <c r="J72" i="14" s="1"/>
  <c r="M72" i="14" s="1"/>
  <c r="F72" i="14"/>
  <c r="I72" i="14"/>
  <c r="L72" i="14" s="1"/>
  <c r="O72" i="14" s="1"/>
  <c r="G49" i="14"/>
  <c r="J49" i="14" s="1"/>
  <c r="M49" i="14" s="1"/>
  <c r="H49" i="14"/>
  <c r="K49" i="14" s="1"/>
  <c r="N49" i="14" s="1"/>
  <c r="I49" i="14"/>
  <c r="L49" i="14" s="1"/>
  <c r="O49" i="14" s="1"/>
  <c r="F49" i="14"/>
  <c r="Q45" i="14"/>
  <c r="T45" i="14" s="1"/>
  <c r="F77" i="14"/>
  <c r="G77" i="14"/>
  <c r="J77" i="14" s="1"/>
  <c r="M77" i="14" s="1"/>
  <c r="I77" i="14"/>
  <c r="L77" i="14" s="1"/>
  <c r="O77" i="14" s="1"/>
  <c r="H77" i="14"/>
  <c r="K77" i="14" s="1"/>
  <c r="N77" i="14" s="1"/>
  <c r="G52" i="14"/>
  <c r="J52" i="14" s="1"/>
  <c r="M52" i="14" s="1"/>
  <c r="F52" i="14"/>
  <c r="I52" i="14"/>
  <c r="L52" i="14" s="1"/>
  <c r="O52" i="14" s="1"/>
  <c r="H52" i="14"/>
  <c r="K52" i="14" s="1"/>
  <c r="N52" i="14" s="1"/>
  <c r="F65" i="14"/>
  <c r="G65" i="14"/>
  <c r="J65" i="14" s="1"/>
  <c r="M65" i="14" s="1"/>
  <c r="I65" i="14"/>
  <c r="L65" i="14" s="1"/>
  <c r="O65" i="14" s="1"/>
  <c r="H65" i="14"/>
  <c r="K65" i="14" s="1"/>
  <c r="N65" i="14" s="1"/>
  <c r="H39" i="14"/>
  <c r="K39" i="14" s="1"/>
  <c r="N39" i="14" s="1"/>
  <c r="F39" i="14"/>
  <c r="I39" i="14"/>
  <c r="L39" i="14" s="1"/>
  <c r="O39" i="14" s="1"/>
  <c r="G39" i="14"/>
  <c r="J39" i="14" s="1"/>
  <c r="M39" i="14" s="1"/>
  <c r="I54" i="14"/>
  <c r="L54" i="14" s="1"/>
  <c r="O54" i="14" s="1"/>
  <c r="H54" i="14"/>
  <c r="K54" i="14" s="1"/>
  <c r="N54" i="14" s="1"/>
  <c r="G54" i="14"/>
  <c r="J54" i="14" s="1"/>
  <c r="M54" i="14" s="1"/>
  <c r="F54" i="14"/>
  <c r="H47" i="14"/>
  <c r="K47" i="14" s="1"/>
  <c r="N47" i="14" s="1"/>
  <c r="F47" i="14"/>
  <c r="G47" i="14"/>
  <c r="J47" i="14" s="1"/>
  <c r="M47" i="14" s="1"/>
  <c r="I47" i="14"/>
  <c r="L47" i="14" s="1"/>
  <c r="O47" i="14" s="1"/>
  <c r="F44" i="14"/>
  <c r="H44" i="14"/>
  <c r="K44" i="14" s="1"/>
  <c r="N44" i="14" s="1"/>
  <c r="G44" i="14"/>
  <c r="J44" i="14" s="1"/>
  <c r="M44" i="14" s="1"/>
  <c r="I44" i="14"/>
  <c r="L44" i="14" s="1"/>
  <c r="O44" i="14" s="1"/>
  <c r="F48" i="14"/>
  <c r="I48" i="14"/>
  <c r="L48" i="14" s="1"/>
  <c r="O48" i="14" s="1"/>
  <c r="H48" i="14"/>
  <c r="K48" i="14" s="1"/>
  <c r="N48" i="14" s="1"/>
  <c r="G48" i="14"/>
  <c r="J48" i="14" s="1"/>
  <c r="M48" i="14" s="1"/>
  <c r="F73" i="14"/>
  <c r="G73" i="14"/>
  <c r="J73" i="14" s="1"/>
  <c r="M73" i="14" s="1"/>
  <c r="I73" i="14"/>
  <c r="L73" i="14" s="1"/>
  <c r="O73" i="14" s="1"/>
  <c r="H73" i="14"/>
  <c r="K73" i="14" s="1"/>
  <c r="N73" i="14" s="1"/>
  <c r="H42" i="14"/>
  <c r="K42" i="14" s="1"/>
  <c r="N42" i="14" s="1"/>
  <c r="I42" i="14"/>
  <c r="L42" i="14" s="1"/>
  <c r="O42" i="14" s="1"/>
  <c r="G42" i="14"/>
  <c r="J42" i="14" s="1"/>
  <c r="M42" i="14" s="1"/>
  <c r="F42" i="14"/>
  <c r="H76" i="14"/>
  <c r="K76" i="14" s="1"/>
  <c r="N76" i="14" s="1"/>
  <c r="G76" i="14"/>
  <c r="J76" i="14" s="1"/>
  <c r="M76" i="14" s="1"/>
  <c r="F76" i="14"/>
  <c r="I76" i="14"/>
  <c r="L76" i="14" s="1"/>
  <c r="O76" i="14" s="1"/>
  <c r="I52" i="6"/>
  <c r="I53" i="6" s="1"/>
  <c r="I48" i="6"/>
  <c r="I51" i="6" s="1"/>
  <c r="I32" i="6"/>
  <c r="W50" i="14" l="1"/>
  <c r="W52" i="14"/>
  <c r="X50" i="14"/>
  <c r="X52" i="14"/>
  <c r="R60" i="14"/>
  <c r="U60" i="14" s="1"/>
  <c r="R78" i="14"/>
  <c r="U78" i="14" s="1"/>
  <c r="R43" i="14"/>
  <c r="U43" i="14" s="1"/>
  <c r="Q46" i="14"/>
  <c r="T46" i="14" s="1"/>
  <c r="W54" i="14" s="1"/>
  <c r="R62" i="14"/>
  <c r="U62" i="14" s="1"/>
  <c r="Q78" i="14"/>
  <c r="T78" i="14" s="1"/>
  <c r="R70" i="14"/>
  <c r="U70" i="14" s="1"/>
  <c r="Q66" i="14"/>
  <c r="T66" i="14" s="1"/>
  <c r="W46" i="14" s="1"/>
  <c r="R69" i="14"/>
  <c r="U69" i="14" s="1"/>
  <c r="R71" i="14"/>
  <c r="U71" i="14" s="1"/>
  <c r="Q65" i="14"/>
  <c r="T65" i="14" s="1"/>
  <c r="W44" i="14" s="1"/>
  <c r="Q72" i="14"/>
  <c r="T72" i="14" s="1"/>
  <c r="Q70" i="14"/>
  <c r="T70" i="14" s="1"/>
  <c r="Q44" i="14"/>
  <c r="T44" i="14" s="1"/>
  <c r="W48" i="14" s="1"/>
  <c r="R44" i="14"/>
  <c r="U44" i="14" s="1"/>
  <c r="X48" i="14" s="1"/>
  <c r="Q77" i="14"/>
  <c r="T77" i="14" s="1"/>
  <c r="R77" i="14"/>
  <c r="U77" i="14" s="1"/>
  <c r="Q37" i="14"/>
  <c r="T37" i="14" s="1"/>
  <c r="R37" i="14"/>
  <c r="U37" i="14" s="1"/>
  <c r="R66" i="14"/>
  <c r="U66" i="14" s="1"/>
  <c r="X46" i="14" s="1"/>
  <c r="Q55" i="14"/>
  <c r="T55" i="14" s="1"/>
  <c r="R55" i="14"/>
  <c r="U55" i="14" s="1"/>
  <c r="Q75" i="14"/>
  <c r="T75" i="14" s="1"/>
  <c r="R75" i="14"/>
  <c r="U75" i="14" s="1"/>
  <c r="Q67" i="14"/>
  <c r="T67" i="14" s="1"/>
  <c r="R67" i="14"/>
  <c r="U67" i="14" s="1"/>
  <c r="R46" i="14"/>
  <c r="U46" i="14" s="1"/>
  <c r="X54" i="14" s="1"/>
  <c r="Q69" i="14"/>
  <c r="T69" i="14" s="1"/>
  <c r="Q71" i="14"/>
  <c r="T71" i="14" s="1"/>
  <c r="Q64" i="14"/>
  <c r="T64" i="14" s="1"/>
  <c r="R64" i="14"/>
  <c r="U64" i="14" s="1"/>
  <c r="X42" i="14" s="1"/>
  <c r="Q73" i="14"/>
  <c r="T73" i="14" s="1"/>
  <c r="R73" i="14"/>
  <c r="U73" i="14" s="1"/>
  <c r="Q41" i="14"/>
  <c r="T41" i="14" s="1"/>
  <c r="Q48" i="14"/>
  <c r="T48" i="14" s="1"/>
  <c r="R48" i="14"/>
  <c r="U48" i="14" s="1"/>
  <c r="Q42" i="14"/>
  <c r="T42" i="14" s="1"/>
  <c r="Q47" i="14"/>
  <c r="T47" i="14" s="1"/>
  <c r="Q39" i="14"/>
  <c r="T39" i="14" s="1"/>
  <c r="R39" i="14"/>
  <c r="U39" i="14" s="1"/>
  <c r="R65" i="14"/>
  <c r="U65" i="14" s="1"/>
  <c r="X44" i="14" s="1"/>
  <c r="Q52" i="14"/>
  <c r="T52" i="14" s="1"/>
  <c r="R72" i="14"/>
  <c r="U72" i="14" s="1"/>
  <c r="Q43" i="14"/>
  <c r="T43" i="14" s="1"/>
  <c r="Q53" i="14"/>
  <c r="T53" i="14" s="1"/>
  <c r="R53" i="14"/>
  <c r="U53" i="14" s="1"/>
  <c r="Q54" i="14"/>
  <c r="T54" i="14" s="1"/>
  <c r="R54" i="14"/>
  <c r="U54" i="14" s="1"/>
  <c r="Q50" i="14"/>
  <c r="T50" i="14" s="1"/>
  <c r="R50" i="14"/>
  <c r="U50" i="14" s="1"/>
  <c r="Q61" i="14"/>
  <c r="T61" i="14" s="1"/>
  <c r="R61" i="14"/>
  <c r="U61" i="14" s="1"/>
  <c r="R52" i="14"/>
  <c r="U52" i="14" s="1"/>
  <c r="Q38" i="14"/>
  <c r="T38" i="14" s="1"/>
  <c r="R38" i="14"/>
  <c r="U38" i="14" s="1"/>
  <c r="Q76" i="14"/>
  <c r="T76" i="14" s="1"/>
  <c r="R76" i="14"/>
  <c r="U76" i="14" s="1"/>
  <c r="Q49" i="14"/>
  <c r="T49" i="14" s="1"/>
  <c r="R49" i="14"/>
  <c r="U49" i="14" s="1"/>
  <c r="Q62" i="14"/>
  <c r="T62" i="14" s="1"/>
  <c r="Q74" i="14"/>
  <c r="T74" i="14" s="1"/>
  <c r="R74" i="14"/>
  <c r="U74" i="14" s="1"/>
  <c r="Q40" i="14"/>
  <c r="T40" i="14" s="1"/>
  <c r="R40" i="14"/>
  <c r="U40" i="14" s="1"/>
  <c r="Q68" i="14"/>
  <c r="T68" i="14" s="1"/>
  <c r="R68" i="14"/>
  <c r="U68" i="14" s="1"/>
  <c r="R41" i="14"/>
  <c r="U41" i="14" s="1"/>
  <c r="R42" i="14"/>
  <c r="U42" i="14" s="1"/>
  <c r="R47" i="14"/>
  <c r="U47" i="14" s="1"/>
  <c r="Q63" i="14"/>
  <c r="T63" i="14" s="1"/>
  <c r="W40" i="14" s="1"/>
  <c r="R63" i="14"/>
  <c r="U63" i="14" s="1"/>
  <c r="X40" i="14" s="1"/>
  <c r="Q60" i="14"/>
  <c r="T60" i="14" s="1"/>
  <c r="X49" i="14" l="1"/>
  <c r="W10" i="14" s="1"/>
  <c r="Y10" i="14" s="1"/>
  <c r="D21" i="7" s="1"/>
  <c r="F21" i="7" s="1"/>
  <c r="G21" i="7" s="1"/>
  <c r="X45" i="14"/>
  <c r="W11" i="14" s="1"/>
  <c r="Y11" i="14" s="1"/>
  <c r="D22" i="7" s="1"/>
  <c r="F22" i="7" s="1"/>
  <c r="G22" i="7" s="1"/>
  <c r="W42" i="14"/>
  <c r="X41" i="14" s="1"/>
  <c r="W9" i="14" s="1"/>
  <c r="Y9" i="14" s="1"/>
  <c r="D20" i="7" s="1"/>
  <c r="F20" i="7" s="1"/>
  <c r="X53" i="14"/>
  <c r="W12" i="14" s="1"/>
  <c r="Y12" i="14" s="1"/>
  <c r="D23" i="7" s="1"/>
  <c r="F23" i="7" s="1"/>
  <c r="G23" i="7" s="1"/>
  <c r="G20" i="7" l="1"/>
  <c r="I33" i="6"/>
  <c r="I34" i="6" s="1"/>
  <c r="I28" i="6"/>
  <c r="I29" i="6" s="1"/>
  <c r="I26" i="6"/>
  <c r="I21" i="6"/>
  <c r="I8" i="6"/>
  <c r="I37" i="6" s="1"/>
  <c r="I15" i="6"/>
  <c r="I13" i="6"/>
  <c r="AD17" i="5"/>
  <c r="AD18" i="5"/>
  <c r="AD19" i="5"/>
  <c r="AD20" i="5"/>
  <c r="AC18" i="5"/>
  <c r="AC19" i="5"/>
  <c r="AC29" i="5" s="1"/>
  <c r="AC20" i="5"/>
  <c r="AC17" i="5"/>
  <c r="AC25" i="5" s="1"/>
  <c r="I41" i="6" l="1"/>
  <c r="I42" i="6" s="1"/>
  <c r="I38" i="6"/>
  <c r="I16" i="6"/>
  <c r="I43" i="6" l="1"/>
  <c r="I44" i="6" s="1"/>
  <c r="I49" i="6" l="1"/>
  <c r="I55" i="6" s="1"/>
  <c r="I57" i="6" l="1"/>
  <c r="I56" i="6"/>
  <c r="K16" i="7" l="1"/>
  <c r="K15" i="7"/>
  <c r="K14" i="7"/>
  <c r="K13" i="7"/>
  <c r="K7" i="7"/>
  <c r="K6" i="7"/>
  <c r="K5" i="7"/>
  <c r="K4" i="7"/>
  <c r="G16" i="7"/>
  <c r="I16" i="7" s="1"/>
  <c r="J16" i="7" s="1"/>
  <c r="G15" i="7"/>
  <c r="I15" i="7" s="1"/>
  <c r="J15" i="7" s="1"/>
  <c r="G14" i="7"/>
  <c r="I14" i="7" s="1"/>
  <c r="J14" i="7" s="1"/>
  <c r="G13" i="7"/>
  <c r="I13" i="7" s="1"/>
  <c r="J13" i="7" s="1"/>
  <c r="G7" i="7"/>
  <c r="G6" i="7"/>
  <c r="G5" i="7"/>
  <c r="G4" i="7"/>
  <c r="V11" i="1" l="1"/>
  <c r="W11" i="1"/>
  <c r="V10" i="1"/>
  <c r="W10" i="1"/>
  <c r="V9" i="1"/>
  <c r="W9" i="1"/>
  <c r="W8" i="1"/>
  <c r="V8" i="1"/>
  <c r="A14" i="1" l="1"/>
  <c r="D27" i="5" l="1"/>
  <c r="D23" i="5"/>
  <c r="D20" i="5" l="1"/>
  <c r="D18" i="5"/>
  <c r="D386" i="1" l="1"/>
  <c r="D387" i="1" s="1"/>
  <c r="D385" i="1"/>
  <c r="D335" i="1"/>
  <c r="D336" i="1" s="1"/>
  <c r="D334" i="1"/>
  <c r="D228" i="5" l="1"/>
  <c r="D227" i="5"/>
  <c r="D230" i="5" s="1"/>
  <c r="D200" i="5"/>
  <c r="D199" i="5"/>
  <c r="D202" i="5"/>
  <c r="D172" i="5"/>
  <c r="D171" i="5"/>
  <c r="D174" i="5" s="1"/>
  <c r="D144" i="5"/>
  <c r="D143" i="5"/>
  <c r="D146" i="5" s="1"/>
  <c r="D116" i="5"/>
  <c r="D115" i="5"/>
  <c r="D118" i="5" s="1"/>
  <c r="D88" i="5"/>
  <c r="D87" i="5"/>
  <c r="D62" i="5"/>
  <c r="D61" i="5"/>
  <c r="D28" i="5"/>
  <c r="D30" i="5"/>
  <c r="D90" i="5" l="1"/>
  <c r="D64" i="5"/>
  <c r="D201" i="5"/>
  <c r="D229" i="5"/>
  <c r="D173" i="5"/>
  <c r="D17" i="5"/>
  <c r="D15" i="5"/>
  <c r="U253" i="5" l="1"/>
  <c r="C252" i="5"/>
  <c r="C236" i="5"/>
  <c r="C217" i="5"/>
  <c r="C211" i="5"/>
  <c r="S211" i="5" s="1"/>
  <c r="C206" i="5"/>
  <c r="C195" i="5"/>
  <c r="C186" i="5"/>
  <c r="C182" i="5"/>
  <c r="C165" i="5"/>
  <c r="C156" i="5"/>
  <c r="C155" i="5"/>
  <c r="S155" i="5" s="1"/>
  <c r="C138" i="5"/>
  <c r="C132" i="5"/>
  <c r="S132" i="5" s="1"/>
  <c r="C251" i="5"/>
  <c r="C248" i="5"/>
  <c r="C241" i="5"/>
  <c r="S241" i="5" s="1"/>
  <c r="C235" i="5"/>
  <c r="C220" i="5"/>
  <c r="S220" i="5" s="1"/>
  <c r="C214" i="5"/>
  <c r="C208" i="5"/>
  <c r="S208" i="5" s="1"/>
  <c r="C185" i="5"/>
  <c r="S185" i="5" s="1"/>
  <c r="C160" i="5"/>
  <c r="AD24" i="5" s="1"/>
  <c r="C128" i="5"/>
  <c r="S128" i="5" s="1"/>
  <c r="C125" i="5"/>
  <c r="S125" i="5" s="1"/>
  <c r="C247" i="5"/>
  <c r="C244" i="5"/>
  <c r="C238" i="5"/>
  <c r="C223" i="5"/>
  <c r="S223" i="5" s="1"/>
  <c r="C213" i="5"/>
  <c r="S213" i="5" s="1"/>
  <c r="C190" i="5"/>
  <c r="C179" i="5"/>
  <c r="C168" i="5"/>
  <c r="C164" i="5"/>
  <c r="C159" i="5"/>
  <c r="C150" i="5"/>
  <c r="C137" i="5"/>
  <c r="S137" i="5" s="1"/>
  <c r="C135" i="5"/>
  <c r="C131" i="5"/>
  <c r="C122" i="5"/>
  <c r="C243" i="5"/>
  <c r="C219" i="5"/>
  <c r="C216" i="5"/>
  <c r="S216" i="5" s="1"/>
  <c r="C210" i="5"/>
  <c r="C194" i="5"/>
  <c r="C189" i="5"/>
  <c r="S189" i="5" s="1"/>
  <c r="C184" i="5"/>
  <c r="S184" i="5" s="1"/>
  <c r="C181" i="5"/>
  <c r="C163" i="5"/>
  <c r="C154" i="5"/>
  <c r="C249" i="5"/>
  <c r="S249" i="5" s="1"/>
  <c r="C246" i="5"/>
  <c r="C240" i="5"/>
  <c r="C234" i="5"/>
  <c r="C222" i="5"/>
  <c r="C212" i="5"/>
  <c r="C193" i="5"/>
  <c r="C187" i="5"/>
  <c r="S187" i="5" s="1"/>
  <c r="C183" i="5"/>
  <c r="S183" i="5" s="1"/>
  <c r="C180" i="5"/>
  <c r="S180" i="5" s="1"/>
  <c r="C158" i="5"/>
  <c r="C153" i="5"/>
  <c r="S153" i="5" s="1"/>
  <c r="C139" i="5"/>
  <c r="C134" i="5"/>
  <c r="C130" i="5"/>
  <c r="C124" i="5"/>
  <c r="S124" i="5" s="1"/>
  <c r="C245" i="5"/>
  <c r="S245" i="5" s="1"/>
  <c r="C239" i="5"/>
  <c r="C218" i="5"/>
  <c r="C215" i="5"/>
  <c r="S215" i="5" s="1"/>
  <c r="C192" i="5"/>
  <c r="S192" i="5" s="1"/>
  <c r="C178" i="5"/>
  <c r="C162" i="5"/>
  <c r="C157" i="5"/>
  <c r="S157" i="5" s="1"/>
  <c r="C207" i="5"/>
  <c r="C191" i="5"/>
  <c r="C136" i="5"/>
  <c r="S136" i="5" s="1"/>
  <c r="C105" i="5"/>
  <c r="S105" i="5" s="1"/>
  <c r="C100" i="5"/>
  <c r="S217" i="5"/>
  <c r="C188" i="5"/>
  <c r="C167" i="5"/>
  <c r="S167" i="5" s="1"/>
  <c r="C151" i="5"/>
  <c r="S151" i="5" s="1"/>
  <c r="C129" i="5"/>
  <c r="C123" i="5"/>
  <c r="S123" i="5" s="1"/>
  <c r="C109" i="5"/>
  <c r="S109" i="5" s="1"/>
  <c r="C96" i="5"/>
  <c r="C101" i="5"/>
  <c r="C242" i="5"/>
  <c r="C166" i="5"/>
  <c r="C140" i="5"/>
  <c r="S140" i="5" s="1"/>
  <c r="C127" i="5"/>
  <c r="S127" i="5" s="1"/>
  <c r="C112" i="5"/>
  <c r="C108" i="5"/>
  <c r="C104" i="5"/>
  <c r="S104" i="5" s="1"/>
  <c r="C95" i="5"/>
  <c r="C97" i="5"/>
  <c r="C103" i="5"/>
  <c r="C99" i="5"/>
  <c r="S99" i="5" s="1"/>
  <c r="C110" i="5"/>
  <c r="C133" i="5"/>
  <c r="C126" i="5"/>
  <c r="C111" i="5"/>
  <c r="S111" i="5" s="1"/>
  <c r="C107" i="5"/>
  <c r="S107" i="5" s="1"/>
  <c r="C250" i="5"/>
  <c r="C237" i="5"/>
  <c r="S237" i="5" s="1"/>
  <c r="C224" i="5"/>
  <c r="C94" i="5"/>
  <c r="S94" i="5" s="1"/>
  <c r="C209" i="5"/>
  <c r="S209" i="5" s="1"/>
  <c r="C196" i="5"/>
  <c r="S196" i="5" s="1"/>
  <c r="C161" i="5"/>
  <c r="C152" i="5"/>
  <c r="C102" i="5"/>
  <c r="C98" i="5"/>
  <c r="C221" i="5"/>
  <c r="C106" i="5"/>
  <c r="S139" i="5"/>
  <c r="S246" i="5"/>
  <c r="S207" i="5"/>
  <c r="S191" i="5"/>
  <c r="S195" i="5"/>
  <c r="S235" i="5"/>
  <c r="S152" i="5"/>
  <c r="S251" i="5"/>
  <c r="S250" i="5"/>
  <c r="S219" i="5"/>
  <c r="S212" i="5"/>
  <c r="S179" i="5"/>
  <c r="S243" i="5"/>
  <c r="S96" i="5"/>
  <c r="C82" i="5"/>
  <c r="C75" i="5"/>
  <c r="C66" i="5"/>
  <c r="S66" i="5" s="1"/>
  <c r="C74" i="5"/>
  <c r="C79" i="5"/>
  <c r="S79" i="5" s="1"/>
  <c r="C70" i="5"/>
  <c r="C84" i="5"/>
  <c r="S84" i="5" s="1"/>
  <c r="C72" i="5"/>
  <c r="C69" i="5"/>
  <c r="C71" i="5"/>
  <c r="C80" i="5"/>
  <c r="C76" i="5"/>
  <c r="C73" i="5"/>
  <c r="C81" i="5"/>
  <c r="C78" i="5"/>
  <c r="C83" i="5"/>
  <c r="S83" i="5" s="1"/>
  <c r="C68" i="5"/>
  <c r="S68" i="5" s="1"/>
  <c r="C77" i="5"/>
  <c r="S77" i="5" s="1"/>
  <c r="C67" i="5"/>
  <c r="S67" i="5" s="1"/>
  <c r="C51" i="5"/>
  <c r="S51" i="5" s="1"/>
  <c r="C40" i="5"/>
  <c r="S40" i="5" s="1"/>
  <c r="C38" i="5"/>
  <c r="D38" i="5" s="1"/>
  <c r="C43" i="5"/>
  <c r="S43" i="5" s="1"/>
  <c r="D63" i="5"/>
  <c r="C48" i="5"/>
  <c r="S48" i="5" s="1"/>
  <c r="C46" i="5"/>
  <c r="S46" i="5" s="1"/>
  <c r="C54" i="5"/>
  <c r="C41" i="5"/>
  <c r="S41" i="5" s="1"/>
  <c r="C49" i="5"/>
  <c r="S49" i="5" s="1"/>
  <c r="C44" i="5"/>
  <c r="C52" i="5"/>
  <c r="D29" i="5"/>
  <c r="C39" i="5"/>
  <c r="S39" i="5" s="1"/>
  <c r="C47" i="5"/>
  <c r="S47" i="5" s="1"/>
  <c r="C55" i="5"/>
  <c r="C42" i="5"/>
  <c r="S42" i="5" s="1"/>
  <c r="C50" i="5"/>
  <c r="C37" i="5"/>
  <c r="E37" i="5" s="1"/>
  <c r="C45" i="5"/>
  <c r="C53" i="5"/>
  <c r="S53" i="5" s="1"/>
  <c r="D89" i="5"/>
  <c r="D117" i="5"/>
  <c r="D145" i="5"/>
  <c r="D27" i="1"/>
  <c r="D28" i="1" s="1"/>
  <c r="D26" i="1"/>
  <c r="D17" i="1"/>
  <c r="D18" i="1" s="1"/>
  <c r="D15" i="1"/>
  <c r="C59" i="1" s="1"/>
  <c r="S164" i="5" l="1"/>
  <c r="AD28" i="5"/>
  <c r="S165" i="5"/>
  <c r="AD30" i="5"/>
  <c r="S161" i="5"/>
  <c r="AD26" i="5"/>
  <c r="D59" i="1"/>
  <c r="E59" i="1"/>
  <c r="D24" i="5"/>
  <c r="F37" i="5"/>
  <c r="V37" i="5" s="1"/>
  <c r="G37" i="5"/>
  <c r="S37" i="5"/>
  <c r="E100" i="5"/>
  <c r="D100" i="5"/>
  <c r="E168" i="5"/>
  <c r="D168" i="5"/>
  <c r="E221" i="5"/>
  <c r="D221" i="5"/>
  <c r="D133" i="5"/>
  <c r="E133" i="5"/>
  <c r="E112" i="5"/>
  <c r="D112" i="5"/>
  <c r="E123" i="5"/>
  <c r="D123" i="5"/>
  <c r="E105" i="5"/>
  <c r="D105" i="5"/>
  <c r="E192" i="5"/>
  <c r="D192" i="5"/>
  <c r="S134" i="5"/>
  <c r="E134" i="5"/>
  <c r="D134" i="5"/>
  <c r="E212" i="5"/>
  <c r="D212" i="5"/>
  <c r="E181" i="5"/>
  <c r="D181" i="5"/>
  <c r="S122" i="5"/>
  <c r="E122" i="5"/>
  <c r="D122" i="5"/>
  <c r="E179" i="5"/>
  <c r="D179" i="5"/>
  <c r="E128" i="5"/>
  <c r="D128" i="5"/>
  <c r="E235" i="5"/>
  <c r="D235" i="5"/>
  <c r="E165" i="5"/>
  <c r="D165" i="5"/>
  <c r="E109" i="5"/>
  <c r="D109" i="5"/>
  <c r="E243" i="5"/>
  <c r="D243" i="5"/>
  <c r="E156" i="5"/>
  <c r="D156" i="5"/>
  <c r="S133" i="5"/>
  <c r="S98" i="5"/>
  <c r="E98" i="5"/>
  <c r="D98" i="5"/>
  <c r="S110" i="5"/>
  <c r="E110" i="5"/>
  <c r="D110" i="5"/>
  <c r="E127" i="5"/>
  <c r="D127" i="5"/>
  <c r="E129" i="5"/>
  <c r="D129" i="5"/>
  <c r="S129" i="5"/>
  <c r="E215" i="5"/>
  <c r="D215" i="5"/>
  <c r="E139" i="5"/>
  <c r="D139" i="5"/>
  <c r="S222" i="5"/>
  <c r="E222" i="5"/>
  <c r="D222" i="5"/>
  <c r="E184" i="5"/>
  <c r="D184" i="5"/>
  <c r="E131" i="5"/>
  <c r="D131" i="5"/>
  <c r="S190" i="5"/>
  <c r="E190" i="5"/>
  <c r="D190" i="5"/>
  <c r="E241" i="5"/>
  <c r="D241" i="5"/>
  <c r="S182" i="5"/>
  <c r="E182" i="5"/>
  <c r="D182" i="5"/>
  <c r="S252" i="5"/>
  <c r="E252" i="5"/>
  <c r="D252" i="5"/>
  <c r="S106" i="5"/>
  <c r="E106" i="5"/>
  <c r="D106" i="5"/>
  <c r="E193" i="5"/>
  <c r="D193" i="5"/>
  <c r="S156" i="5"/>
  <c r="S102" i="5"/>
  <c r="E102" i="5"/>
  <c r="D102" i="5"/>
  <c r="E224" i="5"/>
  <c r="D224" i="5"/>
  <c r="E99" i="5"/>
  <c r="D99" i="5"/>
  <c r="E140" i="5"/>
  <c r="D140" i="5"/>
  <c r="D151" i="5"/>
  <c r="E151" i="5"/>
  <c r="E136" i="5"/>
  <c r="D136" i="5"/>
  <c r="S218" i="5"/>
  <c r="D218" i="5"/>
  <c r="E218" i="5"/>
  <c r="E153" i="5"/>
  <c r="D153" i="5"/>
  <c r="S234" i="5"/>
  <c r="E234" i="5"/>
  <c r="D234" i="5"/>
  <c r="D189" i="5"/>
  <c r="E189" i="5"/>
  <c r="E135" i="5"/>
  <c r="D135" i="5"/>
  <c r="E213" i="5"/>
  <c r="D213" i="5"/>
  <c r="E160" i="5"/>
  <c r="D160" i="5"/>
  <c r="S248" i="5"/>
  <c r="D248" i="5"/>
  <c r="E248" i="5"/>
  <c r="S186" i="5"/>
  <c r="E186" i="5"/>
  <c r="D186" i="5"/>
  <c r="S108" i="5"/>
  <c r="D108" i="5"/>
  <c r="E108" i="5"/>
  <c r="S163" i="5"/>
  <c r="E163" i="5"/>
  <c r="D163" i="5"/>
  <c r="S236" i="5"/>
  <c r="E236" i="5"/>
  <c r="D236" i="5"/>
  <c r="E152" i="5"/>
  <c r="D152" i="5"/>
  <c r="E237" i="5"/>
  <c r="D237" i="5"/>
  <c r="E103" i="5"/>
  <c r="D103" i="5"/>
  <c r="S166" i="5"/>
  <c r="E166" i="5"/>
  <c r="D166" i="5"/>
  <c r="E167" i="5"/>
  <c r="D167" i="5"/>
  <c r="E191" i="5"/>
  <c r="D191" i="5"/>
  <c r="S221" i="5"/>
  <c r="S158" i="5"/>
  <c r="E158" i="5"/>
  <c r="D158" i="5"/>
  <c r="S240" i="5"/>
  <c r="E240" i="5"/>
  <c r="D240" i="5"/>
  <c r="S194" i="5"/>
  <c r="E194" i="5"/>
  <c r="D194" i="5"/>
  <c r="E137" i="5"/>
  <c r="D137" i="5"/>
  <c r="E223" i="5"/>
  <c r="D223" i="5"/>
  <c r="S181" i="5"/>
  <c r="E251" i="5"/>
  <c r="D251" i="5"/>
  <c r="E195" i="5"/>
  <c r="D195" i="5"/>
  <c r="S112" i="5"/>
  <c r="S178" i="5"/>
  <c r="D178" i="5"/>
  <c r="E178" i="5"/>
  <c r="E220" i="5"/>
  <c r="D220" i="5"/>
  <c r="C41" i="1"/>
  <c r="C431" i="1"/>
  <c r="C330" i="1"/>
  <c r="C227" i="1"/>
  <c r="P227" i="1" s="1"/>
  <c r="C127" i="1"/>
  <c r="P127" i="1" s="1"/>
  <c r="C424" i="1"/>
  <c r="C421" i="1"/>
  <c r="C410" i="1"/>
  <c r="P410" i="1" s="1"/>
  <c r="C404" i="1"/>
  <c r="P404" i="1" s="1"/>
  <c r="C397" i="1"/>
  <c r="P397" i="1" s="1"/>
  <c r="C359" i="1"/>
  <c r="C352" i="1"/>
  <c r="C349" i="1"/>
  <c r="P349" i="1" s="1"/>
  <c r="C345" i="1"/>
  <c r="C325" i="1"/>
  <c r="C319" i="1"/>
  <c r="C280" i="1"/>
  <c r="P280" i="1" s="1"/>
  <c r="C76" i="1"/>
  <c r="E76" i="1" s="1"/>
  <c r="C426" i="1"/>
  <c r="C423" i="1"/>
  <c r="C403" i="1"/>
  <c r="P403" i="1" s="1"/>
  <c r="C358" i="1"/>
  <c r="C356" i="1"/>
  <c r="C344" i="1"/>
  <c r="P344" i="1" s="1"/>
  <c r="C341" i="1"/>
  <c r="P341" i="1" s="1"/>
  <c r="C320" i="1"/>
  <c r="C433" i="1"/>
  <c r="P433" i="1" s="1"/>
  <c r="C382" i="1"/>
  <c r="P382" i="1" s="1"/>
  <c r="C329" i="1"/>
  <c r="C126" i="1"/>
  <c r="C420" i="1"/>
  <c r="C417" i="1"/>
  <c r="C409" i="1"/>
  <c r="C402" i="1"/>
  <c r="C392" i="1"/>
  <c r="C378" i="1"/>
  <c r="C374" i="1"/>
  <c r="C370" i="1"/>
  <c r="P370" i="1" s="1"/>
  <c r="C366" i="1"/>
  <c r="P366" i="1" s="1"/>
  <c r="C355" i="1"/>
  <c r="C279" i="1"/>
  <c r="P279" i="1" s="1"/>
  <c r="C77" i="1"/>
  <c r="C75" i="1"/>
  <c r="E75" i="1" s="1"/>
  <c r="C422" i="1"/>
  <c r="P422" i="1" s="1"/>
  <c r="C419" i="1"/>
  <c r="P419" i="1" s="1"/>
  <c r="C407" i="1"/>
  <c r="C396" i="1"/>
  <c r="P396" i="1" s="1"/>
  <c r="C377" i="1"/>
  <c r="C373" i="1"/>
  <c r="C369" i="1"/>
  <c r="C365" i="1"/>
  <c r="C354" i="1"/>
  <c r="P354" i="1" s="1"/>
  <c r="C351" i="1"/>
  <c r="C348" i="1"/>
  <c r="P348" i="1" s="1"/>
  <c r="C321" i="1"/>
  <c r="C315" i="1"/>
  <c r="C278" i="1"/>
  <c r="C418" i="1"/>
  <c r="P418" i="1" s="1"/>
  <c r="C415" i="1"/>
  <c r="C394" i="1"/>
  <c r="C380" i="1"/>
  <c r="P380" i="1" s="1"/>
  <c r="C331" i="1"/>
  <c r="P331" i="1" s="1"/>
  <c r="C228" i="1"/>
  <c r="P228" i="1" s="1"/>
  <c r="C428" i="1"/>
  <c r="C425" i="1"/>
  <c r="P417" i="1"/>
  <c r="C408" i="1"/>
  <c r="P408" i="1" s="1"/>
  <c r="C405" i="1"/>
  <c r="P405" i="1" s="1"/>
  <c r="C398" i="1"/>
  <c r="C379" i="1"/>
  <c r="P379" i="1" s="1"/>
  <c r="C375" i="1"/>
  <c r="C371" i="1"/>
  <c r="P371" i="1" s="1"/>
  <c r="C367" i="1"/>
  <c r="P367" i="1" s="1"/>
  <c r="P359" i="1"/>
  <c r="P356" i="1"/>
  <c r="C353" i="1"/>
  <c r="P353" i="1" s="1"/>
  <c r="C324" i="1"/>
  <c r="C317" i="1"/>
  <c r="C381" i="1"/>
  <c r="P381" i="1" s="1"/>
  <c r="C229" i="1"/>
  <c r="P229" i="1" s="1"/>
  <c r="P75" i="1"/>
  <c r="C406" i="1"/>
  <c r="C395" i="1"/>
  <c r="C372" i="1"/>
  <c r="C326" i="1"/>
  <c r="C316" i="1"/>
  <c r="P316" i="1" s="1"/>
  <c r="C178" i="1"/>
  <c r="C272" i="1"/>
  <c r="P272" i="1" s="1"/>
  <c r="C269" i="1"/>
  <c r="P269" i="1" s="1"/>
  <c r="C262" i="1"/>
  <c r="C224" i="1"/>
  <c r="C217" i="1"/>
  <c r="C172" i="1"/>
  <c r="C164" i="1"/>
  <c r="P164" i="1" s="1"/>
  <c r="C123" i="1"/>
  <c r="C116" i="1"/>
  <c r="P116" i="1" s="1"/>
  <c r="C70" i="1"/>
  <c r="C67" i="1"/>
  <c r="C68" i="1"/>
  <c r="E68" i="1" s="1"/>
  <c r="C399" i="1"/>
  <c r="C350" i="1"/>
  <c r="C273" i="1"/>
  <c r="P273" i="1" s="1"/>
  <c r="C225" i="1"/>
  <c r="C125" i="1"/>
  <c r="P125" i="1" s="1"/>
  <c r="C357" i="1"/>
  <c r="P357" i="1" s="1"/>
  <c r="C347" i="1"/>
  <c r="P347" i="1" s="1"/>
  <c r="C323" i="1"/>
  <c r="P323" i="1" s="1"/>
  <c r="P315" i="1"/>
  <c r="C275" i="1"/>
  <c r="C223" i="1"/>
  <c r="C220" i="1"/>
  <c r="C214" i="1"/>
  <c r="P214" i="1" s="1"/>
  <c r="C212" i="1"/>
  <c r="C171" i="1"/>
  <c r="C163" i="1"/>
  <c r="C122" i="1"/>
  <c r="C115" i="1"/>
  <c r="C74" i="1"/>
  <c r="C69" i="1"/>
  <c r="E69" i="1" s="1"/>
  <c r="C63" i="1"/>
  <c r="P374" i="1"/>
  <c r="C313" i="1"/>
  <c r="C166" i="1"/>
  <c r="C346" i="1"/>
  <c r="P346" i="1" s="1"/>
  <c r="C322" i="1"/>
  <c r="C274" i="1"/>
  <c r="C268" i="1"/>
  <c r="C265" i="1"/>
  <c r="C219" i="1"/>
  <c r="C211" i="1"/>
  <c r="C170" i="1"/>
  <c r="C162" i="1"/>
  <c r="C121" i="1"/>
  <c r="C114" i="1"/>
  <c r="P114" i="1" s="1"/>
  <c r="C73" i="1"/>
  <c r="E73" i="1" s="1"/>
  <c r="C71" i="1"/>
  <c r="C66" i="1"/>
  <c r="C213" i="1"/>
  <c r="C112" i="1"/>
  <c r="C215" i="1"/>
  <c r="C110" i="1"/>
  <c r="C430" i="1"/>
  <c r="P430" i="1" s="1"/>
  <c r="C393" i="1"/>
  <c r="C368" i="1"/>
  <c r="C328" i="1"/>
  <c r="C318" i="1"/>
  <c r="C271" i="1"/>
  <c r="P271" i="1" s="1"/>
  <c r="C226" i="1"/>
  <c r="C169" i="1"/>
  <c r="C161" i="1"/>
  <c r="P161" i="1" s="1"/>
  <c r="C120" i="1"/>
  <c r="C113" i="1"/>
  <c r="P113" i="1" s="1"/>
  <c r="C65" i="1"/>
  <c r="C62" i="1"/>
  <c r="C176" i="1"/>
  <c r="P176" i="1" s="1"/>
  <c r="C119" i="1"/>
  <c r="C61" i="1"/>
  <c r="C364" i="1"/>
  <c r="C174" i="1"/>
  <c r="C429" i="1"/>
  <c r="P429" i="1" s="1"/>
  <c r="C416" i="1"/>
  <c r="C401" i="1"/>
  <c r="C343" i="1"/>
  <c r="P320" i="1"/>
  <c r="C314" i="1"/>
  <c r="C277" i="1"/>
  <c r="P277" i="1" s="1"/>
  <c r="C270" i="1"/>
  <c r="C264" i="1"/>
  <c r="P225" i="1"/>
  <c r="C222" i="1"/>
  <c r="C168" i="1"/>
  <c r="P168" i="1" s="1"/>
  <c r="C432" i="1"/>
  <c r="P432" i="1" s="1"/>
  <c r="C276" i="1"/>
  <c r="P276" i="1" s="1"/>
  <c r="C128" i="1"/>
  <c r="P128" i="1" s="1"/>
  <c r="C427" i="1"/>
  <c r="C400" i="1"/>
  <c r="C376" i="1"/>
  <c r="C342" i="1"/>
  <c r="C267" i="1"/>
  <c r="X248" i="1" s="1"/>
  <c r="C218" i="1"/>
  <c r="P218" i="1" s="1"/>
  <c r="C216" i="1"/>
  <c r="C175" i="1"/>
  <c r="P175" i="1" s="1"/>
  <c r="C167" i="1"/>
  <c r="P167" i="1" s="1"/>
  <c r="C118" i="1"/>
  <c r="P118" i="1" s="1"/>
  <c r="C111" i="1"/>
  <c r="C72" i="1"/>
  <c r="E72" i="1" s="1"/>
  <c r="C64" i="1"/>
  <c r="E64" i="1" s="1"/>
  <c r="P59" i="1"/>
  <c r="C266" i="1"/>
  <c r="P217" i="1"/>
  <c r="C117" i="1"/>
  <c r="P407" i="1"/>
  <c r="C327" i="1"/>
  <c r="P319" i="1"/>
  <c r="C177" i="1"/>
  <c r="P177" i="1" s="1"/>
  <c r="C263" i="1"/>
  <c r="C221" i="1"/>
  <c r="P221" i="1" s="1"/>
  <c r="C173" i="1"/>
  <c r="C165" i="1"/>
  <c r="P165" i="1" s="1"/>
  <c r="C124" i="1"/>
  <c r="P124" i="1" s="1"/>
  <c r="C60" i="1"/>
  <c r="E60" i="1" s="1"/>
  <c r="P172" i="1"/>
  <c r="P120" i="1"/>
  <c r="P426" i="1"/>
  <c r="P112" i="1"/>
  <c r="P126" i="1"/>
  <c r="P171" i="1"/>
  <c r="P395" i="1"/>
  <c r="S168" i="5"/>
  <c r="E161" i="5"/>
  <c r="D161" i="5"/>
  <c r="D250" i="5"/>
  <c r="E250" i="5"/>
  <c r="S97" i="5"/>
  <c r="D97" i="5"/>
  <c r="E97" i="5"/>
  <c r="S242" i="5"/>
  <c r="E242" i="5"/>
  <c r="D242" i="5"/>
  <c r="S188" i="5"/>
  <c r="E188" i="5"/>
  <c r="D188" i="5"/>
  <c r="E207" i="5"/>
  <c r="D207" i="5"/>
  <c r="S239" i="5"/>
  <c r="D239" i="5"/>
  <c r="E239" i="5"/>
  <c r="E180" i="5"/>
  <c r="D180" i="5"/>
  <c r="D246" i="5"/>
  <c r="E246" i="5"/>
  <c r="S210" i="5"/>
  <c r="E210" i="5"/>
  <c r="D210" i="5"/>
  <c r="S150" i="5"/>
  <c r="E150" i="5"/>
  <c r="D150" i="5"/>
  <c r="S238" i="5"/>
  <c r="E238" i="5"/>
  <c r="D238" i="5"/>
  <c r="D185" i="5"/>
  <c r="E185" i="5"/>
  <c r="E132" i="5"/>
  <c r="D132" i="5"/>
  <c r="S206" i="5"/>
  <c r="E206" i="5"/>
  <c r="D206" i="5"/>
  <c r="S135" i="5"/>
  <c r="S103" i="5"/>
  <c r="E94" i="5"/>
  <c r="D94" i="5"/>
  <c r="E196" i="5"/>
  <c r="D196" i="5"/>
  <c r="E107" i="5"/>
  <c r="D107" i="5"/>
  <c r="E95" i="5"/>
  <c r="D95" i="5"/>
  <c r="S101" i="5"/>
  <c r="E101" i="5"/>
  <c r="D101" i="5"/>
  <c r="E157" i="5"/>
  <c r="D157" i="5"/>
  <c r="E245" i="5"/>
  <c r="D245" i="5"/>
  <c r="E183" i="5"/>
  <c r="D183" i="5"/>
  <c r="E249" i="5"/>
  <c r="D249" i="5"/>
  <c r="E216" i="5"/>
  <c r="D216" i="5"/>
  <c r="S159" i="5"/>
  <c r="E159" i="5"/>
  <c r="D159" i="5"/>
  <c r="S244" i="5"/>
  <c r="E244" i="5"/>
  <c r="D244" i="5"/>
  <c r="E208" i="5"/>
  <c r="D208" i="5"/>
  <c r="S138" i="5"/>
  <c r="E138" i="5"/>
  <c r="D138" i="5"/>
  <c r="E211" i="5"/>
  <c r="D211" i="5"/>
  <c r="S100" i="5"/>
  <c r="S126" i="5"/>
  <c r="D126" i="5"/>
  <c r="E126" i="5"/>
  <c r="S130" i="5"/>
  <c r="D130" i="5"/>
  <c r="E130" i="5"/>
  <c r="E125" i="5"/>
  <c r="D125" i="5"/>
  <c r="S224" i="5"/>
  <c r="E209" i="5"/>
  <c r="D209" i="5"/>
  <c r="E111" i="5"/>
  <c r="D111" i="5"/>
  <c r="E104" i="5"/>
  <c r="D104" i="5"/>
  <c r="E96" i="5"/>
  <c r="D96" i="5"/>
  <c r="S193" i="5"/>
  <c r="S162" i="5"/>
  <c r="D162" i="5"/>
  <c r="E162" i="5"/>
  <c r="E124" i="5"/>
  <c r="D124" i="5"/>
  <c r="E187" i="5"/>
  <c r="D187" i="5"/>
  <c r="S154" i="5"/>
  <c r="E154" i="5"/>
  <c r="D154" i="5"/>
  <c r="E219" i="5"/>
  <c r="D219" i="5"/>
  <c r="E164" i="5"/>
  <c r="D164" i="5"/>
  <c r="S247" i="5"/>
  <c r="E247" i="5"/>
  <c r="D247" i="5"/>
  <c r="S214" i="5"/>
  <c r="D214" i="5"/>
  <c r="E214" i="5"/>
  <c r="D155" i="5"/>
  <c r="E155" i="5"/>
  <c r="E217" i="5"/>
  <c r="D217" i="5"/>
  <c r="S131" i="5"/>
  <c r="S95" i="5"/>
  <c r="S160" i="5"/>
  <c r="E81" i="5"/>
  <c r="D81" i="5"/>
  <c r="S70" i="5"/>
  <c r="E70" i="5"/>
  <c r="D70" i="5"/>
  <c r="E73" i="5"/>
  <c r="D73" i="5"/>
  <c r="S73" i="5"/>
  <c r="E76" i="5"/>
  <c r="D76" i="5"/>
  <c r="S76" i="5"/>
  <c r="S74" i="5"/>
  <c r="E74" i="5"/>
  <c r="D74" i="5"/>
  <c r="E67" i="5"/>
  <c r="D67" i="5"/>
  <c r="E80" i="5"/>
  <c r="D80" i="5"/>
  <c r="D66" i="5"/>
  <c r="E66" i="5"/>
  <c r="E79" i="5"/>
  <c r="D79" i="5"/>
  <c r="E77" i="5"/>
  <c r="D77" i="5"/>
  <c r="E71" i="5"/>
  <c r="D71" i="5"/>
  <c r="E75" i="5"/>
  <c r="D75" i="5"/>
  <c r="S75" i="5"/>
  <c r="E68" i="5"/>
  <c r="D68" i="5"/>
  <c r="E69" i="5"/>
  <c r="D69" i="5"/>
  <c r="S69" i="5"/>
  <c r="S82" i="5"/>
  <c r="D82" i="5"/>
  <c r="E82" i="5"/>
  <c r="S71" i="5"/>
  <c r="E38" i="5"/>
  <c r="J38" i="5" s="1"/>
  <c r="N38" i="5" s="1"/>
  <c r="R38" i="5" s="1"/>
  <c r="E83" i="5"/>
  <c r="D83" i="5"/>
  <c r="E72" i="5"/>
  <c r="D72" i="5"/>
  <c r="S72" i="5"/>
  <c r="S78" i="5"/>
  <c r="E78" i="5"/>
  <c r="D78" i="5"/>
  <c r="E84" i="5"/>
  <c r="D84" i="5"/>
  <c r="S80" i="5"/>
  <c r="S81" i="5"/>
  <c r="E45" i="5"/>
  <c r="D45" i="5"/>
  <c r="D44" i="5"/>
  <c r="E44" i="5"/>
  <c r="E54" i="5"/>
  <c r="D54" i="5"/>
  <c r="S54" i="5"/>
  <c r="D52" i="5"/>
  <c r="E52" i="5"/>
  <c r="E55" i="5"/>
  <c r="D55" i="5"/>
  <c r="E46" i="5"/>
  <c r="D46" i="5"/>
  <c r="S38" i="5"/>
  <c r="S55" i="5"/>
  <c r="E47" i="5"/>
  <c r="D47" i="5"/>
  <c r="D50" i="5"/>
  <c r="E50" i="5"/>
  <c r="E39" i="5"/>
  <c r="D39" i="5"/>
  <c r="E49" i="5"/>
  <c r="D49" i="5"/>
  <c r="S45" i="5"/>
  <c r="E40" i="5"/>
  <c r="D40" i="5"/>
  <c r="E42" i="5"/>
  <c r="D42" i="5"/>
  <c r="D41" i="5"/>
  <c r="E41" i="5"/>
  <c r="D48" i="5"/>
  <c r="E48" i="5"/>
  <c r="S52" i="5"/>
  <c r="J37" i="5"/>
  <c r="N37" i="5" s="1"/>
  <c r="R37" i="5" s="1"/>
  <c r="H37" i="5"/>
  <c r="I37" i="5"/>
  <c r="M37" i="5" s="1"/>
  <c r="Q37" i="5" s="1"/>
  <c r="E53" i="5"/>
  <c r="D53" i="5"/>
  <c r="E43" i="5"/>
  <c r="D43" i="5"/>
  <c r="S44" i="5"/>
  <c r="S50" i="5"/>
  <c r="D51" i="5"/>
  <c r="E51" i="5"/>
  <c r="D31" i="5"/>
  <c r="D37" i="5"/>
  <c r="D30" i="1"/>
  <c r="C37" i="1"/>
  <c r="D37" i="1" s="1"/>
  <c r="C38" i="1"/>
  <c r="D38" i="1" s="1"/>
  <c r="C39" i="1"/>
  <c r="C40" i="1"/>
  <c r="D284" i="1"/>
  <c r="D285" i="1" s="1"/>
  <c r="D283" i="1"/>
  <c r="D233" i="1"/>
  <c r="D234" i="1" s="1"/>
  <c r="D232" i="1"/>
  <c r="D182" i="1"/>
  <c r="D183" i="1" s="1"/>
  <c r="D181" i="1"/>
  <c r="D132" i="1"/>
  <c r="D133" i="1" s="1"/>
  <c r="D131" i="1"/>
  <c r="D81" i="1"/>
  <c r="D82" i="1" s="1"/>
  <c r="D80" i="1"/>
  <c r="P73" i="1" l="1"/>
  <c r="F60" i="1"/>
  <c r="X246" i="1"/>
  <c r="X244" i="1"/>
  <c r="P62" i="1"/>
  <c r="E62" i="1"/>
  <c r="P63" i="1"/>
  <c r="E63" i="1"/>
  <c r="P70" i="1"/>
  <c r="E70" i="1"/>
  <c r="P74" i="1"/>
  <c r="E74" i="1"/>
  <c r="F64" i="1"/>
  <c r="F59" i="1"/>
  <c r="F72" i="1"/>
  <c r="P265" i="1"/>
  <c r="X242" i="1"/>
  <c r="P67" i="1"/>
  <c r="E67" i="1"/>
  <c r="P66" i="1"/>
  <c r="E66" i="1"/>
  <c r="F75" i="1"/>
  <c r="F69" i="1"/>
  <c r="P71" i="1"/>
  <c r="E71" i="1"/>
  <c r="P77" i="1"/>
  <c r="E77" i="1"/>
  <c r="P65" i="1"/>
  <c r="E65" i="1"/>
  <c r="P69" i="1"/>
  <c r="P61" i="1"/>
  <c r="E61" i="1"/>
  <c r="F73" i="1"/>
  <c r="P76" i="1"/>
  <c r="F68" i="1"/>
  <c r="F76" i="1"/>
  <c r="E24" i="5"/>
  <c r="D121" i="1"/>
  <c r="E121" i="1"/>
  <c r="D378" i="1"/>
  <c r="E378" i="1"/>
  <c r="G196" i="5"/>
  <c r="K196" i="5" s="1"/>
  <c r="O196" i="5" s="1"/>
  <c r="F196" i="5"/>
  <c r="V196" i="5" s="1"/>
  <c r="J196" i="5"/>
  <c r="N196" i="5" s="1"/>
  <c r="R196" i="5" s="1"/>
  <c r="I196" i="5"/>
  <c r="M196" i="5" s="1"/>
  <c r="Q196" i="5" s="1"/>
  <c r="H196" i="5"/>
  <c r="L196" i="5" s="1"/>
  <c r="P196" i="5" s="1"/>
  <c r="I246" i="5"/>
  <c r="M246" i="5" s="1"/>
  <c r="Q246" i="5" s="1"/>
  <c r="H246" i="5"/>
  <c r="L246" i="5" s="1"/>
  <c r="P246" i="5" s="1"/>
  <c r="F246" i="5"/>
  <c r="V246" i="5" s="1"/>
  <c r="G246" i="5"/>
  <c r="K246" i="5" s="1"/>
  <c r="O246" i="5" s="1"/>
  <c r="J246" i="5"/>
  <c r="N246" i="5" s="1"/>
  <c r="R246" i="5" s="1"/>
  <c r="D427" i="1"/>
  <c r="E427" i="1"/>
  <c r="D222" i="1"/>
  <c r="E222" i="1"/>
  <c r="D176" i="1"/>
  <c r="E176" i="1"/>
  <c r="P215" i="1"/>
  <c r="D215" i="1"/>
  <c r="E215" i="1"/>
  <c r="P162" i="1"/>
  <c r="E162" i="1"/>
  <c r="D162" i="1"/>
  <c r="P274" i="1"/>
  <c r="D274" i="1"/>
  <c r="E274" i="1"/>
  <c r="E171" i="1"/>
  <c r="D171" i="1"/>
  <c r="E275" i="1"/>
  <c r="D275" i="1"/>
  <c r="D67" i="1"/>
  <c r="P262" i="1"/>
  <c r="D262" i="1"/>
  <c r="E262" i="1"/>
  <c r="E395" i="1"/>
  <c r="D395" i="1"/>
  <c r="D379" i="1"/>
  <c r="E379" i="1"/>
  <c r="D418" i="1"/>
  <c r="E418" i="1"/>
  <c r="E351" i="1"/>
  <c r="D351" i="1"/>
  <c r="P392" i="1"/>
  <c r="E392" i="1"/>
  <c r="D392" i="1"/>
  <c r="D126" i="1"/>
  <c r="E126" i="1"/>
  <c r="D344" i="1"/>
  <c r="E344" i="1"/>
  <c r="D426" i="1"/>
  <c r="E426" i="1"/>
  <c r="E345" i="1"/>
  <c r="D345" i="1"/>
  <c r="D421" i="1"/>
  <c r="E421" i="1"/>
  <c r="D431" i="1"/>
  <c r="E431" i="1"/>
  <c r="F251" i="5"/>
  <c r="V251" i="5" s="1"/>
  <c r="J251" i="5"/>
  <c r="N251" i="5" s="1"/>
  <c r="R251" i="5" s="1"/>
  <c r="I251" i="5"/>
  <c r="M251" i="5" s="1"/>
  <c r="Q251" i="5" s="1"/>
  <c r="G251" i="5"/>
  <c r="K251" i="5" s="1"/>
  <c r="O251" i="5" s="1"/>
  <c r="H251" i="5"/>
  <c r="L251" i="5" s="1"/>
  <c r="P251" i="5" s="1"/>
  <c r="J103" i="5"/>
  <c r="N103" i="5" s="1"/>
  <c r="R103" i="5" s="1"/>
  <c r="F103" i="5"/>
  <c r="V103" i="5" s="1"/>
  <c r="G103" i="5"/>
  <c r="K103" i="5" s="1"/>
  <c r="O103" i="5" s="1"/>
  <c r="I103" i="5"/>
  <c r="M103" i="5" s="1"/>
  <c r="Q103" i="5" s="1"/>
  <c r="H103" i="5"/>
  <c r="L103" i="5" s="1"/>
  <c r="P103" i="5" s="1"/>
  <c r="J108" i="5"/>
  <c r="N108" i="5" s="1"/>
  <c r="R108" i="5" s="1"/>
  <c r="F108" i="5"/>
  <c r="V108" i="5" s="1"/>
  <c r="G108" i="5"/>
  <c r="K108" i="5" s="1"/>
  <c r="O108" i="5" s="1"/>
  <c r="I108" i="5"/>
  <c r="M108" i="5" s="1"/>
  <c r="Q108" i="5" s="1"/>
  <c r="H108" i="5"/>
  <c r="L108" i="5" s="1"/>
  <c r="P108" i="5" s="1"/>
  <c r="F99" i="5"/>
  <c r="V99" i="5" s="1"/>
  <c r="I99" i="5"/>
  <c r="M99" i="5" s="1"/>
  <c r="Q99" i="5" s="1"/>
  <c r="H99" i="5"/>
  <c r="L99" i="5" s="1"/>
  <c r="P99" i="5" s="1"/>
  <c r="J99" i="5"/>
  <c r="N99" i="5" s="1"/>
  <c r="R99" i="5" s="1"/>
  <c r="G99" i="5"/>
  <c r="K99" i="5" s="1"/>
  <c r="O99" i="5" s="1"/>
  <c r="G215" i="5"/>
  <c r="K215" i="5" s="1"/>
  <c r="O215" i="5" s="1"/>
  <c r="H215" i="5"/>
  <c r="L215" i="5" s="1"/>
  <c r="F215" i="5"/>
  <c r="V215" i="5" s="1"/>
  <c r="J215" i="5"/>
  <c r="N215" i="5" s="1"/>
  <c r="R215" i="5" s="1"/>
  <c r="I215" i="5"/>
  <c r="M215" i="5" s="1"/>
  <c r="Q215" i="5" s="1"/>
  <c r="H134" i="5"/>
  <c r="L134" i="5" s="1"/>
  <c r="P134" i="5" s="1"/>
  <c r="J134" i="5"/>
  <c r="N134" i="5" s="1"/>
  <c r="R134" i="5" s="1"/>
  <c r="I134" i="5"/>
  <c r="M134" i="5" s="1"/>
  <c r="Q134" i="5" s="1"/>
  <c r="G134" i="5"/>
  <c r="K134" i="5" s="1"/>
  <c r="O134" i="5" s="1"/>
  <c r="F134" i="5"/>
  <c r="V134" i="5" s="1"/>
  <c r="H219" i="5"/>
  <c r="L219" i="5" s="1"/>
  <c r="P219" i="5" s="1"/>
  <c r="G219" i="5"/>
  <c r="K219" i="5" s="1"/>
  <c r="O219" i="5" s="1"/>
  <c r="F219" i="5"/>
  <c r="V219" i="5" s="1"/>
  <c r="J219" i="5"/>
  <c r="N219" i="5" s="1"/>
  <c r="R219" i="5" s="1"/>
  <c r="I219" i="5"/>
  <c r="M219" i="5" s="1"/>
  <c r="Q219" i="5" s="1"/>
  <c r="J208" i="5"/>
  <c r="N208" i="5" s="1"/>
  <c r="R208" i="5" s="1"/>
  <c r="I208" i="5"/>
  <c r="M208" i="5" s="1"/>
  <c r="Q208" i="5" s="1"/>
  <c r="H208" i="5"/>
  <c r="L208" i="5" s="1"/>
  <c r="P208" i="5" s="1"/>
  <c r="G208" i="5"/>
  <c r="K208" i="5" s="1"/>
  <c r="F208" i="5"/>
  <c r="V208" i="5" s="1"/>
  <c r="E263" i="1"/>
  <c r="D263" i="1"/>
  <c r="E343" i="1"/>
  <c r="D343" i="1"/>
  <c r="E268" i="1"/>
  <c r="D268" i="1"/>
  <c r="P372" i="1"/>
  <c r="D372" i="1"/>
  <c r="E372" i="1"/>
  <c r="I182" i="5"/>
  <c r="M182" i="5" s="1"/>
  <c r="Q182" i="5" s="1"/>
  <c r="F182" i="5"/>
  <c r="V182" i="5" s="1"/>
  <c r="H182" i="5"/>
  <c r="L182" i="5" s="1"/>
  <c r="P182" i="5" s="1"/>
  <c r="G182" i="5"/>
  <c r="K182" i="5" s="1"/>
  <c r="O182" i="5" s="1"/>
  <c r="J182" i="5"/>
  <c r="N182" i="5" s="1"/>
  <c r="R182" i="5" s="1"/>
  <c r="J154" i="5"/>
  <c r="N154" i="5" s="1"/>
  <c r="R154" i="5" s="1"/>
  <c r="F154" i="5"/>
  <c r="V154" i="5" s="1"/>
  <c r="I154" i="5"/>
  <c r="M154" i="5" s="1"/>
  <c r="Q154" i="5" s="1"/>
  <c r="G154" i="5"/>
  <c r="K154" i="5" s="1"/>
  <c r="O154" i="5" s="1"/>
  <c r="H154" i="5"/>
  <c r="L154" i="5" s="1"/>
  <c r="P154" i="5" s="1"/>
  <c r="I130" i="5"/>
  <c r="M130" i="5" s="1"/>
  <c r="Q130" i="5" s="1"/>
  <c r="G130" i="5"/>
  <c r="K130" i="5" s="1"/>
  <c r="O130" i="5" s="1"/>
  <c r="F130" i="5"/>
  <c r="V130" i="5" s="1"/>
  <c r="H130" i="5"/>
  <c r="L130" i="5" s="1"/>
  <c r="P130" i="5" s="1"/>
  <c r="J130" i="5"/>
  <c r="N130" i="5" s="1"/>
  <c r="R130" i="5" s="1"/>
  <c r="H244" i="5"/>
  <c r="L244" i="5" s="1"/>
  <c r="P244" i="5" s="1"/>
  <c r="I244" i="5"/>
  <c r="M244" i="5" s="1"/>
  <c r="Q244" i="5" s="1"/>
  <c r="G244" i="5"/>
  <c r="K244" i="5" s="1"/>
  <c r="F244" i="5"/>
  <c r="V244" i="5" s="1"/>
  <c r="J244" i="5"/>
  <c r="N244" i="5" s="1"/>
  <c r="R244" i="5" s="1"/>
  <c r="J249" i="5"/>
  <c r="N249" i="5" s="1"/>
  <c r="R249" i="5" s="1"/>
  <c r="I249" i="5"/>
  <c r="M249" i="5" s="1"/>
  <c r="Q249" i="5" s="1"/>
  <c r="F249" i="5"/>
  <c r="V249" i="5" s="1"/>
  <c r="H249" i="5"/>
  <c r="L249" i="5" s="1"/>
  <c r="P249" i="5" s="1"/>
  <c r="G249" i="5"/>
  <c r="K249" i="5" s="1"/>
  <c r="O249" i="5" s="1"/>
  <c r="H101" i="5"/>
  <c r="L101" i="5" s="1"/>
  <c r="P101" i="5" s="1"/>
  <c r="G101" i="5"/>
  <c r="K101" i="5" s="1"/>
  <c r="O101" i="5" s="1"/>
  <c r="F101" i="5"/>
  <c r="V101" i="5" s="1"/>
  <c r="J101" i="5"/>
  <c r="N101" i="5" s="1"/>
  <c r="R101" i="5" s="1"/>
  <c r="I101" i="5"/>
  <c r="M101" i="5" s="1"/>
  <c r="Q101" i="5" s="1"/>
  <c r="H206" i="5"/>
  <c r="L206" i="5" s="1"/>
  <c r="P206" i="5" s="1"/>
  <c r="J206" i="5"/>
  <c r="N206" i="5" s="1"/>
  <c r="R206" i="5" s="1"/>
  <c r="F206" i="5"/>
  <c r="V206" i="5" s="1"/>
  <c r="I206" i="5"/>
  <c r="M206" i="5" s="1"/>
  <c r="Q206" i="5" s="1"/>
  <c r="G206" i="5"/>
  <c r="K206" i="5" s="1"/>
  <c r="O206" i="5" s="1"/>
  <c r="P60" i="1"/>
  <c r="D60" i="1"/>
  <c r="D117" i="1"/>
  <c r="E117" i="1"/>
  <c r="P72" i="1"/>
  <c r="D72" i="1"/>
  <c r="P263" i="1"/>
  <c r="D128" i="1"/>
  <c r="E128" i="1"/>
  <c r="P401" i="1"/>
  <c r="D401" i="1"/>
  <c r="E401" i="1"/>
  <c r="D62" i="1"/>
  <c r="D226" i="1"/>
  <c r="E226" i="1"/>
  <c r="P368" i="1"/>
  <c r="D368" i="1"/>
  <c r="E368" i="1"/>
  <c r="E112" i="1"/>
  <c r="D112" i="1"/>
  <c r="P170" i="1"/>
  <c r="E170" i="1"/>
  <c r="D170" i="1"/>
  <c r="P322" i="1"/>
  <c r="D322" i="1"/>
  <c r="E322" i="1"/>
  <c r="D63" i="1"/>
  <c r="P212" i="1"/>
  <c r="D212" i="1"/>
  <c r="E212" i="1"/>
  <c r="D125" i="1"/>
  <c r="E125" i="1"/>
  <c r="D70" i="1"/>
  <c r="E269" i="1"/>
  <c r="D269" i="1"/>
  <c r="P406" i="1"/>
  <c r="D406" i="1"/>
  <c r="E406" i="1"/>
  <c r="P345" i="1"/>
  <c r="E398" i="1"/>
  <c r="D398" i="1"/>
  <c r="D228" i="1"/>
  <c r="E228" i="1"/>
  <c r="D354" i="1"/>
  <c r="E354" i="1"/>
  <c r="E419" i="1"/>
  <c r="D419" i="1"/>
  <c r="P343" i="1"/>
  <c r="E402" i="1"/>
  <c r="D402" i="1"/>
  <c r="D76" i="1"/>
  <c r="E349" i="1"/>
  <c r="D349" i="1"/>
  <c r="P424" i="1"/>
  <c r="D424" i="1"/>
  <c r="E424" i="1"/>
  <c r="J191" i="5"/>
  <c r="N191" i="5" s="1"/>
  <c r="R191" i="5" s="1"/>
  <c r="H191" i="5"/>
  <c r="L191" i="5" s="1"/>
  <c r="P191" i="5" s="1"/>
  <c r="F191" i="5"/>
  <c r="V191" i="5" s="1"/>
  <c r="G191" i="5"/>
  <c r="K191" i="5" s="1"/>
  <c r="O191" i="5" s="1"/>
  <c r="I191" i="5"/>
  <c r="M191" i="5" s="1"/>
  <c r="Q191" i="5" s="1"/>
  <c r="G106" i="5"/>
  <c r="K106" i="5" s="1"/>
  <c r="O106" i="5" s="1"/>
  <c r="J106" i="5"/>
  <c r="N106" i="5" s="1"/>
  <c r="R106" i="5" s="1"/>
  <c r="I106" i="5"/>
  <c r="M106" i="5" s="1"/>
  <c r="Q106" i="5" s="1"/>
  <c r="H106" i="5"/>
  <c r="L106" i="5" s="1"/>
  <c r="P106" i="5" s="1"/>
  <c r="F106" i="5"/>
  <c r="V106" i="5" s="1"/>
  <c r="H184" i="5"/>
  <c r="L184" i="5" s="1"/>
  <c r="P184" i="5" s="1"/>
  <c r="F184" i="5"/>
  <c r="V184" i="5" s="1"/>
  <c r="J184" i="5"/>
  <c r="N184" i="5" s="1"/>
  <c r="R184" i="5" s="1"/>
  <c r="I184" i="5"/>
  <c r="M184" i="5" s="1"/>
  <c r="Q184" i="5" s="1"/>
  <c r="G184" i="5"/>
  <c r="K184" i="5" s="1"/>
  <c r="O184" i="5" s="1"/>
  <c r="I165" i="5"/>
  <c r="M165" i="5" s="1"/>
  <c r="Q165" i="5" s="1"/>
  <c r="H165" i="5"/>
  <c r="L165" i="5" s="1"/>
  <c r="P165" i="5" s="1"/>
  <c r="G165" i="5"/>
  <c r="K165" i="5" s="1"/>
  <c r="O165" i="5" s="1"/>
  <c r="J165" i="5"/>
  <c r="N165" i="5" s="1"/>
  <c r="R165" i="5" s="1"/>
  <c r="F165" i="5"/>
  <c r="V165" i="5" s="1"/>
  <c r="F122" i="5"/>
  <c r="V122" i="5" s="1"/>
  <c r="J122" i="5"/>
  <c r="N122" i="5" s="1"/>
  <c r="R122" i="5" s="1"/>
  <c r="I122" i="5"/>
  <c r="M122" i="5" s="1"/>
  <c r="Q122" i="5" s="1"/>
  <c r="G122" i="5"/>
  <c r="K122" i="5" s="1"/>
  <c r="H122" i="5"/>
  <c r="L122" i="5" s="1"/>
  <c r="P122" i="5" s="1"/>
  <c r="G112" i="5"/>
  <c r="K112" i="5" s="1"/>
  <c r="O112" i="5" s="1"/>
  <c r="J112" i="5"/>
  <c r="N112" i="5" s="1"/>
  <c r="R112" i="5" s="1"/>
  <c r="F112" i="5"/>
  <c r="V112" i="5" s="1"/>
  <c r="I112" i="5"/>
  <c r="M112" i="5" s="1"/>
  <c r="Q112" i="5" s="1"/>
  <c r="H112" i="5"/>
  <c r="L112" i="5" s="1"/>
  <c r="P112" i="5" s="1"/>
  <c r="G97" i="5"/>
  <c r="K97" i="5" s="1"/>
  <c r="O97" i="5" s="1"/>
  <c r="I97" i="5"/>
  <c r="M97" i="5" s="1"/>
  <c r="Q97" i="5" s="1"/>
  <c r="F97" i="5"/>
  <c r="V97" i="5" s="1"/>
  <c r="J97" i="5"/>
  <c r="N97" i="5" s="1"/>
  <c r="R97" i="5" s="1"/>
  <c r="H97" i="5"/>
  <c r="L97" i="5" s="1"/>
  <c r="P97" i="5" s="1"/>
  <c r="D168" i="1"/>
  <c r="E168" i="1"/>
  <c r="E110" i="1"/>
  <c r="D110" i="1"/>
  <c r="E163" i="1"/>
  <c r="D163" i="1"/>
  <c r="P224" i="1"/>
  <c r="D224" i="1"/>
  <c r="E224" i="1"/>
  <c r="E415" i="1"/>
  <c r="D415" i="1"/>
  <c r="D423" i="1"/>
  <c r="E423" i="1"/>
  <c r="F178" i="5"/>
  <c r="V178" i="5" s="1"/>
  <c r="J178" i="5"/>
  <c r="N178" i="5" s="1"/>
  <c r="R178" i="5" s="1"/>
  <c r="I178" i="5"/>
  <c r="M178" i="5" s="1"/>
  <c r="Q178" i="5" s="1"/>
  <c r="H178" i="5"/>
  <c r="L178" i="5" s="1"/>
  <c r="P178" i="5" s="1"/>
  <c r="G178" i="5"/>
  <c r="K178" i="5" s="1"/>
  <c r="O178" i="5" s="1"/>
  <c r="I189" i="5"/>
  <c r="M189" i="5" s="1"/>
  <c r="Q189" i="5" s="1"/>
  <c r="H189" i="5"/>
  <c r="L189" i="5" s="1"/>
  <c r="P189" i="5" s="1"/>
  <c r="G189" i="5"/>
  <c r="K189" i="5" s="1"/>
  <c r="O189" i="5" s="1"/>
  <c r="F189" i="5"/>
  <c r="V189" i="5" s="1"/>
  <c r="J189" i="5"/>
  <c r="N189" i="5" s="1"/>
  <c r="R189" i="5" s="1"/>
  <c r="G110" i="5"/>
  <c r="K110" i="5" s="1"/>
  <c r="O110" i="5" s="1"/>
  <c r="I110" i="5"/>
  <c r="M110" i="5" s="1"/>
  <c r="Q110" i="5" s="1"/>
  <c r="H110" i="5"/>
  <c r="L110" i="5" s="1"/>
  <c r="F110" i="5"/>
  <c r="V110" i="5" s="1"/>
  <c r="J110" i="5"/>
  <c r="N110" i="5" s="1"/>
  <c r="R110" i="5" s="1"/>
  <c r="H247" i="5"/>
  <c r="L247" i="5" s="1"/>
  <c r="P247" i="5" s="1"/>
  <c r="I247" i="5"/>
  <c r="M247" i="5" s="1"/>
  <c r="Q247" i="5" s="1"/>
  <c r="G247" i="5"/>
  <c r="K247" i="5" s="1"/>
  <c r="O247" i="5" s="1"/>
  <c r="F247" i="5"/>
  <c r="V247" i="5" s="1"/>
  <c r="J247" i="5"/>
  <c r="N247" i="5" s="1"/>
  <c r="R247" i="5" s="1"/>
  <c r="J209" i="5"/>
  <c r="N209" i="5" s="1"/>
  <c r="R209" i="5" s="1"/>
  <c r="I209" i="5"/>
  <c r="M209" i="5" s="1"/>
  <c r="Q209" i="5" s="1"/>
  <c r="H209" i="5"/>
  <c r="L209" i="5" s="1"/>
  <c r="P209" i="5" s="1"/>
  <c r="G209" i="5"/>
  <c r="K209" i="5" s="1"/>
  <c r="O209" i="5" s="1"/>
  <c r="F209" i="5"/>
  <c r="V209" i="5" s="1"/>
  <c r="G211" i="5"/>
  <c r="K211" i="5" s="1"/>
  <c r="O211" i="5" s="1"/>
  <c r="J211" i="5"/>
  <c r="N211" i="5" s="1"/>
  <c r="R211" i="5" s="1"/>
  <c r="I211" i="5"/>
  <c r="M211" i="5" s="1"/>
  <c r="Q211" i="5" s="1"/>
  <c r="F211" i="5"/>
  <c r="V211" i="5" s="1"/>
  <c r="H211" i="5"/>
  <c r="L211" i="5" s="1"/>
  <c r="I188" i="5"/>
  <c r="M188" i="5" s="1"/>
  <c r="Q188" i="5" s="1"/>
  <c r="H188" i="5"/>
  <c r="L188" i="5" s="1"/>
  <c r="P188" i="5" s="1"/>
  <c r="G188" i="5"/>
  <c r="K188" i="5" s="1"/>
  <c r="O188" i="5" s="1"/>
  <c r="J188" i="5"/>
  <c r="N188" i="5" s="1"/>
  <c r="R188" i="5" s="1"/>
  <c r="F188" i="5"/>
  <c r="V188" i="5" s="1"/>
  <c r="I250" i="5"/>
  <c r="M250" i="5" s="1"/>
  <c r="Q250" i="5" s="1"/>
  <c r="H250" i="5"/>
  <c r="L250" i="5" s="1"/>
  <c r="P250" i="5" s="1"/>
  <c r="J250" i="5"/>
  <c r="N250" i="5" s="1"/>
  <c r="R250" i="5" s="1"/>
  <c r="G250" i="5"/>
  <c r="K250" i="5" s="1"/>
  <c r="O250" i="5" s="1"/>
  <c r="F250" i="5"/>
  <c r="V250" i="5" s="1"/>
  <c r="P110" i="1"/>
  <c r="E124" i="1"/>
  <c r="D124" i="1"/>
  <c r="P275" i="1"/>
  <c r="P117" i="1"/>
  <c r="P111" i="1"/>
  <c r="E111" i="1"/>
  <c r="D111" i="1"/>
  <c r="E267" i="1"/>
  <c r="D267" i="1"/>
  <c r="E264" i="1"/>
  <c r="D264" i="1"/>
  <c r="P416" i="1"/>
  <c r="D416" i="1"/>
  <c r="E416" i="1"/>
  <c r="D65" i="1"/>
  <c r="P264" i="1"/>
  <c r="P378" i="1"/>
  <c r="E213" i="1"/>
  <c r="D213" i="1"/>
  <c r="P211" i="1"/>
  <c r="D211" i="1"/>
  <c r="E211" i="1"/>
  <c r="E346" i="1"/>
  <c r="D346" i="1"/>
  <c r="D214" i="1"/>
  <c r="E214" i="1"/>
  <c r="E225" i="1"/>
  <c r="D225" i="1"/>
  <c r="E116" i="1"/>
  <c r="D116" i="1"/>
  <c r="E272" i="1"/>
  <c r="D272" i="1"/>
  <c r="P421" i="1"/>
  <c r="E353" i="1"/>
  <c r="D353" i="1"/>
  <c r="D405" i="1"/>
  <c r="E405" i="1"/>
  <c r="D331" i="1"/>
  <c r="E331" i="1"/>
  <c r="D278" i="1"/>
  <c r="E278" i="1"/>
  <c r="P365" i="1"/>
  <c r="E365" i="1"/>
  <c r="D365" i="1"/>
  <c r="D422" i="1"/>
  <c r="E422" i="1"/>
  <c r="P355" i="1"/>
  <c r="E355" i="1"/>
  <c r="D355" i="1"/>
  <c r="P402" i="1"/>
  <c r="D329" i="1"/>
  <c r="E329" i="1"/>
  <c r="P351" i="1"/>
  <c r="P352" i="1"/>
  <c r="D352" i="1"/>
  <c r="E352" i="1"/>
  <c r="H240" i="5"/>
  <c r="L240" i="5" s="1"/>
  <c r="P240" i="5" s="1"/>
  <c r="I240" i="5"/>
  <c r="M240" i="5" s="1"/>
  <c r="Q240" i="5" s="1"/>
  <c r="F240" i="5"/>
  <c r="V240" i="5" s="1"/>
  <c r="J240" i="5"/>
  <c r="N240" i="5" s="1"/>
  <c r="R240" i="5" s="1"/>
  <c r="G240" i="5"/>
  <c r="K240" i="5" s="1"/>
  <c r="F237" i="5"/>
  <c r="V237" i="5" s="1"/>
  <c r="J237" i="5"/>
  <c r="N237" i="5" s="1"/>
  <c r="R237" i="5" s="1"/>
  <c r="I237" i="5"/>
  <c r="M237" i="5" s="1"/>
  <c r="Q237" i="5" s="1"/>
  <c r="H237" i="5"/>
  <c r="L237" i="5" s="1"/>
  <c r="P237" i="5" s="1"/>
  <c r="G237" i="5"/>
  <c r="K237" i="5" s="1"/>
  <c r="O237" i="5" s="1"/>
  <c r="G160" i="5"/>
  <c r="K160" i="5" s="1"/>
  <c r="O160" i="5" s="1"/>
  <c r="F160" i="5"/>
  <c r="V160" i="5" s="1"/>
  <c r="H160" i="5"/>
  <c r="L160" i="5" s="1"/>
  <c r="P160" i="5" s="1"/>
  <c r="J160" i="5"/>
  <c r="N160" i="5" s="1"/>
  <c r="R160" i="5" s="1"/>
  <c r="I160" i="5"/>
  <c r="M160" i="5" s="1"/>
  <c r="Q160" i="5" s="1"/>
  <c r="J234" i="5"/>
  <c r="N234" i="5" s="1"/>
  <c r="R234" i="5" s="1"/>
  <c r="H234" i="5"/>
  <c r="L234" i="5" s="1"/>
  <c r="P234" i="5" s="1"/>
  <c r="I234" i="5"/>
  <c r="M234" i="5" s="1"/>
  <c r="Q234" i="5" s="1"/>
  <c r="G234" i="5"/>
  <c r="K234" i="5" s="1"/>
  <c r="F234" i="5"/>
  <c r="V234" i="5" s="1"/>
  <c r="H136" i="5"/>
  <c r="L136" i="5" s="1"/>
  <c r="P136" i="5" s="1"/>
  <c r="I136" i="5"/>
  <c r="M136" i="5" s="1"/>
  <c r="Q136" i="5" s="1"/>
  <c r="G136" i="5"/>
  <c r="K136" i="5" s="1"/>
  <c r="O136" i="5" s="1"/>
  <c r="F136" i="5"/>
  <c r="V136" i="5" s="1"/>
  <c r="J136" i="5"/>
  <c r="N136" i="5" s="1"/>
  <c r="R136" i="5" s="1"/>
  <c r="H224" i="5"/>
  <c r="L224" i="5" s="1"/>
  <c r="P224" i="5" s="1"/>
  <c r="G224" i="5"/>
  <c r="K224" i="5" s="1"/>
  <c r="O224" i="5" s="1"/>
  <c r="I224" i="5"/>
  <c r="M224" i="5" s="1"/>
  <c r="Q224" i="5" s="1"/>
  <c r="F224" i="5"/>
  <c r="V224" i="5" s="1"/>
  <c r="J224" i="5"/>
  <c r="N224" i="5" s="1"/>
  <c r="R224" i="5" s="1"/>
  <c r="J241" i="5"/>
  <c r="N241" i="5" s="1"/>
  <c r="R241" i="5" s="1"/>
  <c r="I241" i="5"/>
  <c r="M241" i="5" s="1"/>
  <c r="Q241" i="5" s="1"/>
  <c r="H241" i="5"/>
  <c r="L241" i="5" s="1"/>
  <c r="P241" i="5" s="1"/>
  <c r="G241" i="5"/>
  <c r="K241" i="5" s="1"/>
  <c r="F241" i="5"/>
  <c r="V241" i="5" s="1"/>
  <c r="J98" i="5"/>
  <c r="N98" i="5" s="1"/>
  <c r="R98" i="5" s="1"/>
  <c r="H98" i="5"/>
  <c r="L98" i="5" s="1"/>
  <c r="P98" i="5" s="1"/>
  <c r="F98" i="5"/>
  <c r="V98" i="5" s="1"/>
  <c r="G98" i="5"/>
  <c r="K98" i="5" s="1"/>
  <c r="O98" i="5" s="1"/>
  <c r="I98" i="5"/>
  <c r="M98" i="5" s="1"/>
  <c r="Q98" i="5" s="1"/>
  <c r="J156" i="5"/>
  <c r="N156" i="5" s="1"/>
  <c r="R156" i="5" s="1"/>
  <c r="G156" i="5"/>
  <c r="K156" i="5" s="1"/>
  <c r="O156" i="5" s="1"/>
  <c r="F156" i="5"/>
  <c r="V156" i="5" s="1"/>
  <c r="H156" i="5"/>
  <c r="L156" i="5" s="1"/>
  <c r="P156" i="5" s="1"/>
  <c r="I156" i="5"/>
  <c r="M156" i="5" s="1"/>
  <c r="Q156" i="5" s="1"/>
  <c r="G133" i="5"/>
  <c r="K133" i="5" s="1"/>
  <c r="J133" i="5"/>
  <c r="N133" i="5" s="1"/>
  <c r="R133" i="5" s="1"/>
  <c r="H133" i="5"/>
  <c r="L133" i="5" s="1"/>
  <c r="P133" i="5" s="1"/>
  <c r="I133" i="5"/>
  <c r="M133" i="5" s="1"/>
  <c r="Q133" i="5" s="1"/>
  <c r="F133" i="5"/>
  <c r="V133" i="5" s="1"/>
  <c r="I216" i="5"/>
  <c r="M216" i="5" s="1"/>
  <c r="Q216" i="5" s="1"/>
  <c r="G216" i="5"/>
  <c r="K216" i="5" s="1"/>
  <c r="O216" i="5" s="1"/>
  <c r="H216" i="5"/>
  <c r="L216" i="5" s="1"/>
  <c r="P216" i="5" s="1"/>
  <c r="F216" i="5"/>
  <c r="V216" i="5" s="1"/>
  <c r="J216" i="5"/>
  <c r="N216" i="5" s="1"/>
  <c r="R216" i="5" s="1"/>
  <c r="D169" i="1"/>
  <c r="E169" i="1"/>
  <c r="D330" i="1"/>
  <c r="E330" i="1"/>
  <c r="F179" i="5"/>
  <c r="V179" i="5" s="1"/>
  <c r="H179" i="5"/>
  <c r="L179" i="5" s="1"/>
  <c r="P179" i="5" s="1"/>
  <c r="G179" i="5"/>
  <c r="K179" i="5" s="1"/>
  <c r="O179" i="5" s="1"/>
  <c r="J179" i="5"/>
  <c r="N179" i="5" s="1"/>
  <c r="R179" i="5" s="1"/>
  <c r="I179" i="5"/>
  <c r="M179" i="5" s="1"/>
  <c r="P169" i="1"/>
  <c r="I217" i="5"/>
  <c r="M217" i="5" s="1"/>
  <c r="Q217" i="5" s="1"/>
  <c r="F217" i="5"/>
  <c r="V217" i="5" s="1"/>
  <c r="H217" i="5"/>
  <c r="L217" i="5" s="1"/>
  <c r="P217" i="5" s="1"/>
  <c r="G217" i="5"/>
  <c r="K217" i="5" s="1"/>
  <c r="O217" i="5" s="1"/>
  <c r="J217" i="5"/>
  <c r="N217" i="5" s="1"/>
  <c r="R217" i="5" s="1"/>
  <c r="I183" i="5"/>
  <c r="M183" i="5" s="1"/>
  <c r="Q183" i="5" s="1"/>
  <c r="F183" i="5"/>
  <c r="V183" i="5" s="1"/>
  <c r="G183" i="5"/>
  <c r="K183" i="5" s="1"/>
  <c r="O183" i="5" s="1"/>
  <c r="H183" i="5"/>
  <c r="L183" i="5" s="1"/>
  <c r="P183" i="5" s="1"/>
  <c r="J183" i="5"/>
  <c r="N183" i="5" s="1"/>
  <c r="R183" i="5" s="1"/>
  <c r="J150" i="5"/>
  <c r="N150" i="5" s="1"/>
  <c r="R150" i="5" s="1"/>
  <c r="F150" i="5"/>
  <c r="V150" i="5" s="1"/>
  <c r="I150" i="5"/>
  <c r="M150" i="5" s="1"/>
  <c r="Q150" i="5" s="1"/>
  <c r="G150" i="5"/>
  <c r="K150" i="5" s="1"/>
  <c r="O150" i="5" s="1"/>
  <c r="H150" i="5"/>
  <c r="L150" i="5" s="1"/>
  <c r="P150" i="5" s="1"/>
  <c r="H180" i="5"/>
  <c r="L180" i="5" s="1"/>
  <c r="P180" i="5" s="1"/>
  <c r="J180" i="5"/>
  <c r="N180" i="5" s="1"/>
  <c r="R180" i="5" s="1"/>
  <c r="I180" i="5"/>
  <c r="M180" i="5" s="1"/>
  <c r="Q180" i="5" s="1"/>
  <c r="G180" i="5"/>
  <c r="K180" i="5" s="1"/>
  <c r="O180" i="5" s="1"/>
  <c r="F180" i="5"/>
  <c r="V180" i="5" s="1"/>
  <c r="P427" i="1"/>
  <c r="E165" i="1"/>
  <c r="D165" i="1"/>
  <c r="D177" i="1"/>
  <c r="E177" i="1"/>
  <c r="D118" i="1"/>
  <c r="E118" i="1"/>
  <c r="E276" i="1"/>
  <c r="D276" i="1"/>
  <c r="P270" i="1"/>
  <c r="D270" i="1"/>
  <c r="E270" i="1"/>
  <c r="D429" i="1"/>
  <c r="E429" i="1"/>
  <c r="P267" i="1"/>
  <c r="P393" i="1"/>
  <c r="D393" i="1"/>
  <c r="E393" i="1"/>
  <c r="D66" i="1"/>
  <c r="P213" i="1"/>
  <c r="D69" i="1"/>
  <c r="P220" i="1"/>
  <c r="D220" i="1"/>
  <c r="E220" i="1"/>
  <c r="D323" i="1"/>
  <c r="E323" i="1"/>
  <c r="E273" i="1"/>
  <c r="D273" i="1"/>
  <c r="P123" i="1"/>
  <c r="D123" i="1"/>
  <c r="E123" i="1"/>
  <c r="P178" i="1"/>
  <c r="D178" i="1"/>
  <c r="E178" i="1"/>
  <c r="D408" i="1"/>
  <c r="E408" i="1"/>
  <c r="D380" i="1"/>
  <c r="E380" i="1"/>
  <c r="P369" i="1"/>
  <c r="E369" i="1"/>
  <c r="D369" i="1"/>
  <c r="D75" i="1"/>
  <c r="P409" i="1"/>
  <c r="D409" i="1"/>
  <c r="E409" i="1"/>
  <c r="D382" i="1"/>
  <c r="E382" i="1"/>
  <c r="D356" i="1"/>
  <c r="E356" i="1"/>
  <c r="D280" i="1"/>
  <c r="E280" i="1"/>
  <c r="E359" i="1"/>
  <c r="D359" i="1"/>
  <c r="F223" i="5"/>
  <c r="V223" i="5" s="1"/>
  <c r="J223" i="5"/>
  <c r="N223" i="5" s="1"/>
  <c r="R223" i="5" s="1"/>
  <c r="I223" i="5"/>
  <c r="M223" i="5" s="1"/>
  <c r="Q223" i="5" s="1"/>
  <c r="G223" i="5"/>
  <c r="K223" i="5" s="1"/>
  <c r="O223" i="5" s="1"/>
  <c r="H223" i="5"/>
  <c r="L223" i="5" s="1"/>
  <c r="P223" i="5" s="1"/>
  <c r="H167" i="5"/>
  <c r="L167" i="5" s="1"/>
  <c r="P167" i="5" s="1"/>
  <c r="G167" i="5"/>
  <c r="K167" i="5" s="1"/>
  <c r="O167" i="5" s="1"/>
  <c r="F167" i="5"/>
  <c r="V167" i="5" s="1"/>
  <c r="J167" i="5"/>
  <c r="N167" i="5" s="1"/>
  <c r="R167" i="5" s="1"/>
  <c r="I167" i="5"/>
  <c r="M167" i="5" s="1"/>
  <c r="Q167" i="5" s="1"/>
  <c r="H236" i="5"/>
  <c r="L236" i="5" s="1"/>
  <c r="P236" i="5" s="1"/>
  <c r="I236" i="5"/>
  <c r="M236" i="5" s="1"/>
  <c r="Q236" i="5" s="1"/>
  <c r="J236" i="5"/>
  <c r="N236" i="5" s="1"/>
  <c r="R236" i="5" s="1"/>
  <c r="F236" i="5"/>
  <c r="V236" i="5" s="1"/>
  <c r="G236" i="5"/>
  <c r="K236" i="5" s="1"/>
  <c r="J151" i="5"/>
  <c r="N151" i="5" s="1"/>
  <c r="R151" i="5" s="1"/>
  <c r="I151" i="5"/>
  <c r="M151" i="5" s="1"/>
  <c r="Q151" i="5" s="1"/>
  <c r="H151" i="5"/>
  <c r="L151" i="5" s="1"/>
  <c r="P151" i="5" s="1"/>
  <c r="F151" i="5"/>
  <c r="V151" i="5" s="1"/>
  <c r="G151" i="5"/>
  <c r="K151" i="5" s="1"/>
  <c r="O151" i="5" s="1"/>
  <c r="H222" i="5"/>
  <c r="L222" i="5" s="1"/>
  <c r="P222" i="5" s="1"/>
  <c r="J222" i="5"/>
  <c r="N222" i="5" s="1"/>
  <c r="R222" i="5" s="1"/>
  <c r="I222" i="5"/>
  <c r="M222" i="5" s="1"/>
  <c r="Q222" i="5" s="1"/>
  <c r="G222" i="5"/>
  <c r="K222" i="5" s="1"/>
  <c r="F222" i="5"/>
  <c r="V222" i="5" s="1"/>
  <c r="F129" i="5"/>
  <c r="V129" i="5" s="1"/>
  <c r="J129" i="5"/>
  <c r="N129" i="5" s="1"/>
  <c r="R129" i="5" s="1"/>
  <c r="G129" i="5"/>
  <c r="K129" i="5" s="1"/>
  <c r="O129" i="5" s="1"/>
  <c r="H129" i="5"/>
  <c r="L129" i="5" s="1"/>
  <c r="P129" i="5" s="1"/>
  <c r="I129" i="5"/>
  <c r="M129" i="5" s="1"/>
  <c r="Q129" i="5" s="1"/>
  <c r="G235" i="5"/>
  <c r="K235" i="5" s="1"/>
  <c r="O235" i="5" s="1"/>
  <c r="H235" i="5"/>
  <c r="L235" i="5" s="1"/>
  <c r="P235" i="5" s="1"/>
  <c r="J235" i="5"/>
  <c r="N235" i="5" s="1"/>
  <c r="R235" i="5" s="1"/>
  <c r="F235" i="5"/>
  <c r="V235" i="5" s="1"/>
  <c r="I235" i="5"/>
  <c r="M235" i="5" s="1"/>
  <c r="Q235" i="5" s="1"/>
  <c r="H192" i="5"/>
  <c r="L192" i="5" s="1"/>
  <c r="P192" i="5" s="1"/>
  <c r="I192" i="5"/>
  <c r="M192" i="5" s="1"/>
  <c r="Q192" i="5" s="1"/>
  <c r="G192" i="5"/>
  <c r="K192" i="5" s="1"/>
  <c r="O192" i="5" s="1"/>
  <c r="F192" i="5"/>
  <c r="V192" i="5" s="1"/>
  <c r="J192" i="5"/>
  <c r="N192" i="5" s="1"/>
  <c r="R192" i="5" s="1"/>
  <c r="F168" i="5"/>
  <c r="V168" i="5" s="1"/>
  <c r="H168" i="5"/>
  <c r="L168" i="5" s="1"/>
  <c r="P168" i="5" s="1"/>
  <c r="J168" i="5"/>
  <c r="N168" i="5" s="1"/>
  <c r="R168" i="5" s="1"/>
  <c r="I168" i="5"/>
  <c r="M168" i="5" s="1"/>
  <c r="Q168" i="5" s="1"/>
  <c r="G168" i="5"/>
  <c r="K168" i="5" s="1"/>
  <c r="O168" i="5" s="1"/>
  <c r="D218" i="1"/>
  <c r="E218" i="1"/>
  <c r="P119" i="1"/>
  <c r="D119" i="1"/>
  <c r="E119" i="1"/>
  <c r="D375" i="1"/>
  <c r="E375" i="1"/>
  <c r="D348" i="1"/>
  <c r="E348" i="1"/>
  <c r="P325" i="1"/>
  <c r="E325" i="1"/>
  <c r="D325" i="1"/>
  <c r="H123" i="5"/>
  <c r="L123" i="5" s="1"/>
  <c r="P123" i="5" s="1"/>
  <c r="J123" i="5"/>
  <c r="N123" i="5" s="1"/>
  <c r="R123" i="5" s="1"/>
  <c r="I123" i="5"/>
  <c r="M123" i="5" s="1"/>
  <c r="Q123" i="5" s="1"/>
  <c r="F123" i="5"/>
  <c r="V123" i="5" s="1"/>
  <c r="G123" i="5"/>
  <c r="K123" i="5" s="1"/>
  <c r="O123" i="5" s="1"/>
  <c r="H207" i="5"/>
  <c r="L207" i="5" s="1"/>
  <c r="P207" i="5" s="1"/>
  <c r="G207" i="5"/>
  <c r="K207" i="5" s="1"/>
  <c r="J207" i="5"/>
  <c r="N207" i="5" s="1"/>
  <c r="R207" i="5" s="1"/>
  <c r="F207" i="5"/>
  <c r="V207" i="5" s="1"/>
  <c r="I207" i="5"/>
  <c r="M207" i="5" s="1"/>
  <c r="Q207" i="5" s="1"/>
  <c r="J155" i="5"/>
  <c r="N155" i="5" s="1"/>
  <c r="R155" i="5" s="1"/>
  <c r="I155" i="5"/>
  <c r="M155" i="5" s="1"/>
  <c r="Q155" i="5" s="1"/>
  <c r="G155" i="5"/>
  <c r="K155" i="5" s="1"/>
  <c r="O155" i="5" s="1"/>
  <c r="F155" i="5"/>
  <c r="V155" i="5" s="1"/>
  <c r="H155" i="5"/>
  <c r="L155" i="5" s="1"/>
  <c r="P155" i="5" s="1"/>
  <c r="H187" i="5"/>
  <c r="L187" i="5" s="1"/>
  <c r="P187" i="5" s="1"/>
  <c r="J187" i="5"/>
  <c r="N187" i="5" s="1"/>
  <c r="R187" i="5" s="1"/>
  <c r="G187" i="5"/>
  <c r="K187" i="5" s="1"/>
  <c r="F187" i="5"/>
  <c r="V187" i="5" s="1"/>
  <c r="I187" i="5"/>
  <c r="M187" i="5" s="1"/>
  <c r="Q187" i="5" s="1"/>
  <c r="H96" i="5"/>
  <c r="L96" i="5" s="1"/>
  <c r="P96" i="5" s="1"/>
  <c r="G96" i="5"/>
  <c r="K96" i="5" s="1"/>
  <c r="O96" i="5" s="1"/>
  <c r="F96" i="5"/>
  <c r="V96" i="5" s="1"/>
  <c r="I96" i="5"/>
  <c r="M96" i="5" s="1"/>
  <c r="Q96" i="5" s="1"/>
  <c r="J96" i="5"/>
  <c r="N96" i="5" s="1"/>
  <c r="R96" i="5" s="1"/>
  <c r="J126" i="5"/>
  <c r="N126" i="5" s="1"/>
  <c r="R126" i="5" s="1"/>
  <c r="F126" i="5"/>
  <c r="V126" i="5" s="1"/>
  <c r="I126" i="5"/>
  <c r="M126" i="5" s="1"/>
  <c r="Q126" i="5" s="1"/>
  <c r="G126" i="5"/>
  <c r="K126" i="5" s="1"/>
  <c r="H126" i="5"/>
  <c r="L126" i="5" s="1"/>
  <c r="P126" i="5" s="1"/>
  <c r="J138" i="5"/>
  <c r="N138" i="5" s="1"/>
  <c r="R138" i="5" s="1"/>
  <c r="I138" i="5"/>
  <c r="M138" i="5" s="1"/>
  <c r="Q138" i="5" s="1"/>
  <c r="G138" i="5"/>
  <c r="K138" i="5" s="1"/>
  <c r="O138" i="5" s="1"/>
  <c r="F138" i="5"/>
  <c r="V138" i="5" s="1"/>
  <c r="H138" i="5"/>
  <c r="L138" i="5" s="1"/>
  <c r="P138" i="5" s="1"/>
  <c r="J159" i="5"/>
  <c r="N159" i="5" s="1"/>
  <c r="R159" i="5" s="1"/>
  <c r="H159" i="5"/>
  <c r="L159" i="5" s="1"/>
  <c r="P159" i="5" s="1"/>
  <c r="G159" i="5"/>
  <c r="K159" i="5" s="1"/>
  <c r="O159" i="5" s="1"/>
  <c r="F159" i="5"/>
  <c r="V159" i="5" s="1"/>
  <c r="I159" i="5"/>
  <c r="M159" i="5" s="1"/>
  <c r="Q159" i="5" s="1"/>
  <c r="I95" i="5"/>
  <c r="M95" i="5" s="1"/>
  <c r="Q95" i="5" s="1"/>
  <c r="J95" i="5"/>
  <c r="N95" i="5" s="1"/>
  <c r="R95" i="5" s="1"/>
  <c r="F95" i="5"/>
  <c r="V95" i="5" s="1"/>
  <c r="H95" i="5"/>
  <c r="L95" i="5" s="1"/>
  <c r="P95" i="5" s="1"/>
  <c r="G95" i="5"/>
  <c r="K95" i="5" s="1"/>
  <c r="O95" i="5" s="1"/>
  <c r="H132" i="5"/>
  <c r="L132" i="5" s="1"/>
  <c r="P132" i="5" s="1"/>
  <c r="G132" i="5"/>
  <c r="K132" i="5" s="1"/>
  <c r="O132" i="5" s="1"/>
  <c r="I132" i="5"/>
  <c r="M132" i="5" s="1"/>
  <c r="Q132" i="5" s="1"/>
  <c r="F132" i="5"/>
  <c r="V132" i="5" s="1"/>
  <c r="J132" i="5"/>
  <c r="N132" i="5" s="1"/>
  <c r="R132" i="5" s="1"/>
  <c r="J239" i="5"/>
  <c r="N239" i="5" s="1"/>
  <c r="R239" i="5" s="1"/>
  <c r="I239" i="5"/>
  <c r="M239" i="5" s="1"/>
  <c r="Q239" i="5" s="1"/>
  <c r="G239" i="5"/>
  <c r="K239" i="5" s="1"/>
  <c r="O239" i="5" s="1"/>
  <c r="H239" i="5"/>
  <c r="L239" i="5" s="1"/>
  <c r="P239" i="5" s="1"/>
  <c r="F239" i="5"/>
  <c r="V239" i="5" s="1"/>
  <c r="P163" i="1"/>
  <c r="P423" i="1"/>
  <c r="P415" i="1"/>
  <c r="P375" i="1"/>
  <c r="P173" i="1"/>
  <c r="E173" i="1"/>
  <c r="D173" i="1"/>
  <c r="P266" i="1"/>
  <c r="D266" i="1"/>
  <c r="E266" i="1"/>
  <c r="E167" i="1"/>
  <c r="D167" i="1"/>
  <c r="E277" i="1"/>
  <c r="D277" i="1"/>
  <c r="P174" i="1"/>
  <c r="E174" i="1"/>
  <c r="D174" i="1"/>
  <c r="D113" i="1"/>
  <c r="E113" i="1"/>
  <c r="E271" i="1"/>
  <c r="D271" i="1"/>
  <c r="D430" i="1"/>
  <c r="E430" i="1"/>
  <c r="D71" i="1"/>
  <c r="P219" i="1"/>
  <c r="D219" i="1"/>
  <c r="E219" i="1"/>
  <c r="D74" i="1"/>
  <c r="P223" i="1"/>
  <c r="D223" i="1"/>
  <c r="E223" i="1"/>
  <c r="E347" i="1"/>
  <c r="D347" i="1"/>
  <c r="P350" i="1"/>
  <c r="E350" i="1"/>
  <c r="D350" i="1"/>
  <c r="D164" i="1"/>
  <c r="E164" i="1"/>
  <c r="D316" i="1"/>
  <c r="E316" i="1"/>
  <c r="D229" i="1"/>
  <c r="E229" i="1"/>
  <c r="E394" i="1"/>
  <c r="D394" i="1"/>
  <c r="D315" i="1"/>
  <c r="E315" i="1"/>
  <c r="P373" i="1"/>
  <c r="D373" i="1"/>
  <c r="E373" i="1"/>
  <c r="D77" i="1"/>
  <c r="D366" i="1"/>
  <c r="E366" i="1"/>
  <c r="D417" i="1"/>
  <c r="E417" i="1"/>
  <c r="D433" i="1"/>
  <c r="E433" i="1"/>
  <c r="P358" i="1"/>
  <c r="D358" i="1"/>
  <c r="E358" i="1"/>
  <c r="P330" i="1"/>
  <c r="D397" i="1"/>
  <c r="E397" i="1"/>
  <c r="D127" i="1"/>
  <c r="E127" i="1"/>
  <c r="F152" i="5"/>
  <c r="V152" i="5" s="1"/>
  <c r="H152" i="5"/>
  <c r="L152" i="5" s="1"/>
  <c r="P152" i="5" s="1"/>
  <c r="I152" i="5"/>
  <c r="M152" i="5" s="1"/>
  <c r="Q152" i="5" s="1"/>
  <c r="J152" i="5"/>
  <c r="N152" i="5" s="1"/>
  <c r="R152" i="5" s="1"/>
  <c r="G152" i="5"/>
  <c r="K152" i="5" s="1"/>
  <c r="O152" i="5" s="1"/>
  <c r="F186" i="5"/>
  <c r="V186" i="5" s="1"/>
  <c r="J186" i="5"/>
  <c r="N186" i="5" s="1"/>
  <c r="R186" i="5" s="1"/>
  <c r="I186" i="5"/>
  <c r="M186" i="5" s="1"/>
  <c r="Q186" i="5" s="1"/>
  <c r="H186" i="5"/>
  <c r="L186" i="5" s="1"/>
  <c r="P186" i="5" s="1"/>
  <c r="G186" i="5"/>
  <c r="K186" i="5" s="1"/>
  <c r="O186" i="5" s="1"/>
  <c r="I213" i="5"/>
  <c r="M213" i="5" s="1"/>
  <c r="Q213" i="5" s="1"/>
  <c r="H213" i="5"/>
  <c r="L213" i="5" s="1"/>
  <c r="P213" i="5" s="1"/>
  <c r="F213" i="5"/>
  <c r="V213" i="5" s="1"/>
  <c r="G213" i="5"/>
  <c r="K213" i="5" s="1"/>
  <c r="J213" i="5"/>
  <c r="N213" i="5" s="1"/>
  <c r="R213" i="5" s="1"/>
  <c r="J102" i="5"/>
  <c r="N102" i="5" s="1"/>
  <c r="R102" i="5" s="1"/>
  <c r="I102" i="5"/>
  <c r="M102" i="5" s="1"/>
  <c r="Q102" i="5" s="1"/>
  <c r="G102" i="5"/>
  <c r="K102" i="5" s="1"/>
  <c r="O102" i="5" s="1"/>
  <c r="H102" i="5"/>
  <c r="L102" i="5" s="1"/>
  <c r="P102" i="5" s="1"/>
  <c r="F102" i="5"/>
  <c r="V102" i="5" s="1"/>
  <c r="H252" i="5"/>
  <c r="L252" i="5" s="1"/>
  <c r="P252" i="5" s="1"/>
  <c r="F252" i="5"/>
  <c r="V252" i="5" s="1"/>
  <c r="J252" i="5"/>
  <c r="N252" i="5" s="1"/>
  <c r="G252" i="5"/>
  <c r="K252" i="5" s="1"/>
  <c r="O252" i="5" s="1"/>
  <c r="I252" i="5"/>
  <c r="M252" i="5" s="1"/>
  <c r="Q252" i="5" s="1"/>
  <c r="J190" i="5"/>
  <c r="N190" i="5" s="1"/>
  <c r="R190" i="5" s="1"/>
  <c r="I190" i="5"/>
  <c r="M190" i="5" s="1"/>
  <c r="Q190" i="5" s="1"/>
  <c r="G190" i="5"/>
  <c r="K190" i="5" s="1"/>
  <c r="O190" i="5" s="1"/>
  <c r="F190" i="5"/>
  <c r="V190" i="5" s="1"/>
  <c r="H190" i="5"/>
  <c r="L190" i="5" s="1"/>
  <c r="P190" i="5" s="1"/>
  <c r="G243" i="5"/>
  <c r="K243" i="5" s="1"/>
  <c r="O243" i="5" s="1"/>
  <c r="H243" i="5"/>
  <c r="L243" i="5" s="1"/>
  <c r="P243" i="5" s="1"/>
  <c r="F243" i="5"/>
  <c r="V243" i="5" s="1"/>
  <c r="J243" i="5"/>
  <c r="N243" i="5" s="1"/>
  <c r="R243" i="5" s="1"/>
  <c r="I243" i="5"/>
  <c r="M243" i="5" s="1"/>
  <c r="Q243" i="5" s="1"/>
  <c r="I181" i="5"/>
  <c r="M181" i="5" s="1"/>
  <c r="Q181" i="5" s="1"/>
  <c r="H181" i="5"/>
  <c r="L181" i="5" s="1"/>
  <c r="P181" i="5" s="1"/>
  <c r="G181" i="5"/>
  <c r="K181" i="5" s="1"/>
  <c r="O181" i="5" s="1"/>
  <c r="F181" i="5"/>
  <c r="V181" i="5" s="1"/>
  <c r="J181" i="5"/>
  <c r="N181" i="5" s="1"/>
  <c r="R181" i="5" s="1"/>
  <c r="P400" i="1"/>
  <c r="E400" i="1"/>
  <c r="D400" i="1"/>
  <c r="D324" i="1"/>
  <c r="E324" i="1"/>
  <c r="D407" i="1"/>
  <c r="E407" i="1"/>
  <c r="E410" i="1"/>
  <c r="D410" i="1"/>
  <c r="F194" i="5"/>
  <c r="V194" i="5" s="1"/>
  <c r="H194" i="5"/>
  <c r="L194" i="5" s="1"/>
  <c r="P194" i="5" s="1"/>
  <c r="G194" i="5"/>
  <c r="K194" i="5" s="1"/>
  <c r="J194" i="5"/>
  <c r="N194" i="5" s="1"/>
  <c r="R194" i="5" s="1"/>
  <c r="I194" i="5"/>
  <c r="M194" i="5" s="1"/>
  <c r="Q194" i="5" s="1"/>
  <c r="J193" i="5"/>
  <c r="N193" i="5" s="1"/>
  <c r="R193" i="5" s="1"/>
  <c r="I193" i="5"/>
  <c r="M193" i="5" s="1"/>
  <c r="Q193" i="5" s="1"/>
  <c r="H193" i="5"/>
  <c r="L193" i="5" s="1"/>
  <c r="P193" i="5" s="1"/>
  <c r="G193" i="5"/>
  <c r="K193" i="5" s="1"/>
  <c r="O193" i="5" s="1"/>
  <c r="F193" i="5"/>
  <c r="V193" i="5" s="1"/>
  <c r="J125" i="5"/>
  <c r="N125" i="5" s="1"/>
  <c r="R125" i="5" s="1"/>
  <c r="I125" i="5"/>
  <c r="M125" i="5" s="1"/>
  <c r="Q125" i="5" s="1"/>
  <c r="F125" i="5"/>
  <c r="V125" i="5" s="1"/>
  <c r="H125" i="5"/>
  <c r="L125" i="5" s="1"/>
  <c r="P125" i="5" s="1"/>
  <c r="G125" i="5"/>
  <c r="K125" i="5" s="1"/>
  <c r="O125" i="5" s="1"/>
  <c r="G164" i="5"/>
  <c r="K164" i="5" s="1"/>
  <c r="O164" i="5" s="1"/>
  <c r="F164" i="5"/>
  <c r="V164" i="5" s="1"/>
  <c r="H164" i="5"/>
  <c r="L164" i="5" s="1"/>
  <c r="P164" i="5" s="1"/>
  <c r="J164" i="5"/>
  <c r="N164" i="5" s="1"/>
  <c r="R164" i="5" s="1"/>
  <c r="I164" i="5"/>
  <c r="M164" i="5" s="1"/>
  <c r="Q164" i="5" s="1"/>
  <c r="I245" i="5"/>
  <c r="M245" i="5" s="1"/>
  <c r="Q245" i="5" s="1"/>
  <c r="G245" i="5"/>
  <c r="K245" i="5" s="1"/>
  <c r="O245" i="5" s="1"/>
  <c r="H245" i="5"/>
  <c r="L245" i="5" s="1"/>
  <c r="P245" i="5" s="1"/>
  <c r="F245" i="5"/>
  <c r="V245" i="5" s="1"/>
  <c r="J245" i="5"/>
  <c r="N245" i="5" s="1"/>
  <c r="R245" i="5" s="1"/>
  <c r="I94" i="5"/>
  <c r="M94" i="5" s="1"/>
  <c r="Q94" i="5" s="1"/>
  <c r="H94" i="5"/>
  <c r="L94" i="5" s="1"/>
  <c r="P94" i="5" s="1"/>
  <c r="G94" i="5"/>
  <c r="K94" i="5" s="1"/>
  <c r="O94" i="5" s="1"/>
  <c r="F94" i="5"/>
  <c r="V94" i="5" s="1"/>
  <c r="J94" i="5"/>
  <c r="N94" i="5" s="1"/>
  <c r="R94" i="5" s="1"/>
  <c r="I185" i="5"/>
  <c r="M185" i="5" s="1"/>
  <c r="Q185" i="5" s="1"/>
  <c r="J185" i="5"/>
  <c r="N185" i="5" s="1"/>
  <c r="R185" i="5" s="1"/>
  <c r="H185" i="5"/>
  <c r="L185" i="5" s="1"/>
  <c r="P185" i="5" s="1"/>
  <c r="G185" i="5"/>
  <c r="K185" i="5" s="1"/>
  <c r="F185" i="5"/>
  <c r="V185" i="5" s="1"/>
  <c r="J242" i="5"/>
  <c r="N242" i="5" s="1"/>
  <c r="R242" i="5" s="1"/>
  <c r="H242" i="5"/>
  <c r="L242" i="5" s="1"/>
  <c r="P242" i="5" s="1"/>
  <c r="G242" i="5"/>
  <c r="K242" i="5" s="1"/>
  <c r="F242" i="5"/>
  <c r="V242" i="5" s="1"/>
  <c r="I242" i="5"/>
  <c r="M242" i="5" s="1"/>
  <c r="Q242" i="5" s="1"/>
  <c r="J161" i="5"/>
  <c r="N161" i="5" s="1"/>
  <c r="R161" i="5" s="1"/>
  <c r="I161" i="5"/>
  <c r="M161" i="5" s="1"/>
  <c r="Q161" i="5" s="1"/>
  <c r="H161" i="5"/>
  <c r="L161" i="5" s="1"/>
  <c r="P161" i="5" s="1"/>
  <c r="G161" i="5"/>
  <c r="K161" i="5" s="1"/>
  <c r="O161" i="5" s="1"/>
  <c r="F161" i="5"/>
  <c r="V161" i="5" s="1"/>
  <c r="P121" i="1"/>
  <c r="D327" i="1"/>
  <c r="E327" i="1"/>
  <c r="E175" i="1"/>
  <c r="D175" i="1"/>
  <c r="P342" i="1"/>
  <c r="E342" i="1"/>
  <c r="D342" i="1"/>
  <c r="P314" i="1"/>
  <c r="D314" i="1"/>
  <c r="E314" i="1"/>
  <c r="P364" i="1"/>
  <c r="D364" i="1"/>
  <c r="E364" i="1"/>
  <c r="E120" i="1"/>
  <c r="D120" i="1"/>
  <c r="D73" i="1"/>
  <c r="P222" i="1"/>
  <c r="P166" i="1"/>
  <c r="E166" i="1"/>
  <c r="D166" i="1"/>
  <c r="P115" i="1"/>
  <c r="D115" i="1"/>
  <c r="E115" i="1"/>
  <c r="P226" i="1"/>
  <c r="E357" i="1"/>
  <c r="D357" i="1"/>
  <c r="D399" i="1"/>
  <c r="E399" i="1"/>
  <c r="D172" i="1"/>
  <c r="E172" i="1"/>
  <c r="P326" i="1"/>
  <c r="D326" i="1"/>
  <c r="E326" i="1"/>
  <c r="D381" i="1"/>
  <c r="E381" i="1"/>
  <c r="D367" i="1"/>
  <c r="E367" i="1"/>
  <c r="P394" i="1"/>
  <c r="P321" i="1"/>
  <c r="E321" i="1"/>
  <c r="D321" i="1"/>
  <c r="P377" i="1"/>
  <c r="D377" i="1"/>
  <c r="E377" i="1"/>
  <c r="P278" i="1"/>
  <c r="D370" i="1"/>
  <c r="E370" i="1"/>
  <c r="P420" i="1"/>
  <c r="D420" i="1"/>
  <c r="E420" i="1"/>
  <c r="D320" i="1"/>
  <c r="E320" i="1"/>
  <c r="P431" i="1"/>
  <c r="P399" i="1"/>
  <c r="D227" i="1"/>
  <c r="E227" i="1"/>
  <c r="J137" i="5"/>
  <c r="N137" i="5" s="1"/>
  <c r="R137" i="5" s="1"/>
  <c r="I137" i="5"/>
  <c r="M137" i="5" s="1"/>
  <c r="Q137" i="5" s="1"/>
  <c r="H137" i="5"/>
  <c r="L137" i="5" s="1"/>
  <c r="P137" i="5" s="1"/>
  <c r="G137" i="5"/>
  <c r="K137" i="5" s="1"/>
  <c r="O137" i="5" s="1"/>
  <c r="F137" i="5"/>
  <c r="V137" i="5" s="1"/>
  <c r="J158" i="5"/>
  <c r="N158" i="5" s="1"/>
  <c r="R158" i="5" s="1"/>
  <c r="F158" i="5"/>
  <c r="V158" i="5" s="1"/>
  <c r="I158" i="5"/>
  <c r="M158" i="5" s="1"/>
  <c r="Q158" i="5" s="1"/>
  <c r="G158" i="5"/>
  <c r="K158" i="5" s="1"/>
  <c r="O158" i="5" s="1"/>
  <c r="H158" i="5"/>
  <c r="L158" i="5" s="1"/>
  <c r="P158" i="5" s="1"/>
  <c r="J166" i="5"/>
  <c r="N166" i="5" s="1"/>
  <c r="R166" i="5" s="1"/>
  <c r="H166" i="5"/>
  <c r="L166" i="5" s="1"/>
  <c r="P166" i="5" s="1"/>
  <c r="F166" i="5"/>
  <c r="V166" i="5" s="1"/>
  <c r="G166" i="5"/>
  <c r="K166" i="5" s="1"/>
  <c r="I166" i="5"/>
  <c r="M166" i="5" s="1"/>
  <c r="Q166" i="5" s="1"/>
  <c r="H153" i="5"/>
  <c r="L153" i="5" s="1"/>
  <c r="P153" i="5" s="1"/>
  <c r="G153" i="5"/>
  <c r="K153" i="5" s="1"/>
  <c r="O153" i="5" s="1"/>
  <c r="F153" i="5"/>
  <c r="V153" i="5" s="1"/>
  <c r="J153" i="5"/>
  <c r="N153" i="5" s="1"/>
  <c r="I153" i="5"/>
  <c r="M153" i="5" s="1"/>
  <c r="Q153" i="5" s="1"/>
  <c r="G127" i="5"/>
  <c r="K127" i="5" s="1"/>
  <c r="O127" i="5" s="1"/>
  <c r="F127" i="5"/>
  <c r="V127" i="5" s="1"/>
  <c r="J127" i="5"/>
  <c r="N127" i="5" s="1"/>
  <c r="R127" i="5" s="1"/>
  <c r="I127" i="5"/>
  <c r="M127" i="5" s="1"/>
  <c r="Q127" i="5" s="1"/>
  <c r="H127" i="5"/>
  <c r="L127" i="5" s="1"/>
  <c r="I128" i="5"/>
  <c r="M128" i="5" s="1"/>
  <c r="Q128" i="5" s="1"/>
  <c r="G128" i="5"/>
  <c r="K128" i="5" s="1"/>
  <c r="F128" i="5"/>
  <c r="V128" i="5" s="1"/>
  <c r="H128" i="5"/>
  <c r="L128" i="5" s="1"/>
  <c r="P128" i="5" s="1"/>
  <c r="J128" i="5"/>
  <c r="N128" i="5" s="1"/>
  <c r="R128" i="5" s="1"/>
  <c r="F105" i="5"/>
  <c r="V105" i="5" s="1"/>
  <c r="J105" i="5"/>
  <c r="N105" i="5" s="1"/>
  <c r="R105" i="5" s="1"/>
  <c r="G105" i="5"/>
  <c r="K105" i="5" s="1"/>
  <c r="O105" i="5" s="1"/>
  <c r="I105" i="5"/>
  <c r="M105" i="5" s="1"/>
  <c r="Q105" i="5" s="1"/>
  <c r="H105" i="5"/>
  <c r="L105" i="5" s="1"/>
  <c r="I221" i="5"/>
  <c r="M221" i="5" s="1"/>
  <c r="Q221" i="5" s="1"/>
  <c r="H221" i="5"/>
  <c r="L221" i="5" s="1"/>
  <c r="P221" i="5" s="1"/>
  <c r="J221" i="5"/>
  <c r="N221" i="5" s="1"/>
  <c r="R221" i="5" s="1"/>
  <c r="G221" i="5"/>
  <c r="K221" i="5" s="1"/>
  <c r="O221" i="5" s="1"/>
  <c r="F221" i="5"/>
  <c r="V221" i="5" s="1"/>
  <c r="F100" i="5"/>
  <c r="V100" i="5" s="1"/>
  <c r="J100" i="5"/>
  <c r="N100" i="5" s="1"/>
  <c r="R100" i="5" s="1"/>
  <c r="I100" i="5"/>
  <c r="M100" i="5" s="1"/>
  <c r="Q100" i="5" s="1"/>
  <c r="H100" i="5"/>
  <c r="L100" i="5" s="1"/>
  <c r="P100" i="5" s="1"/>
  <c r="G100" i="5"/>
  <c r="K100" i="5" s="1"/>
  <c r="O100" i="5" s="1"/>
  <c r="J162" i="5"/>
  <c r="N162" i="5" s="1"/>
  <c r="R162" i="5" s="1"/>
  <c r="G162" i="5"/>
  <c r="K162" i="5" s="1"/>
  <c r="H162" i="5"/>
  <c r="L162" i="5" s="1"/>
  <c r="P162" i="5" s="1"/>
  <c r="I162" i="5"/>
  <c r="M162" i="5" s="1"/>
  <c r="Q162" i="5" s="1"/>
  <c r="F162" i="5"/>
  <c r="V162" i="5" s="1"/>
  <c r="I157" i="5"/>
  <c r="M157" i="5" s="1"/>
  <c r="Q157" i="5" s="1"/>
  <c r="H157" i="5"/>
  <c r="L157" i="5" s="1"/>
  <c r="P157" i="5" s="1"/>
  <c r="G157" i="5"/>
  <c r="K157" i="5" s="1"/>
  <c r="O157" i="5" s="1"/>
  <c r="F157" i="5"/>
  <c r="V157" i="5" s="1"/>
  <c r="J157" i="5"/>
  <c r="N157" i="5" s="1"/>
  <c r="R157" i="5" s="1"/>
  <c r="P64" i="1"/>
  <c r="D64" i="1"/>
  <c r="E328" i="1"/>
  <c r="D328" i="1"/>
  <c r="P428" i="1"/>
  <c r="D428" i="1"/>
  <c r="E428" i="1"/>
  <c r="D341" i="1"/>
  <c r="E341" i="1"/>
  <c r="J131" i="5"/>
  <c r="N131" i="5" s="1"/>
  <c r="R131" i="5" s="1"/>
  <c r="F131" i="5"/>
  <c r="V131" i="5" s="1"/>
  <c r="I131" i="5"/>
  <c r="M131" i="5" s="1"/>
  <c r="Q131" i="5" s="1"/>
  <c r="H131" i="5"/>
  <c r="L131" i="5" s="1"/>
  <c r="P131" i="5" s="1"/>
  <c r="G131" i="5"/>
  <c r="K131" i="5" s="1"/>
  <c r="F111" i="5"/>
  <c r="V111" i="5" s="1"/>
  <c r="G111" i="5"/>
  <c r="K111" i="5" s="1"/>
  <c r="J111" i="5"/>
  <c r="N111" i="5" s="1"/>
  <c r="R111" i="5" s="1"/>
  <c r="I111" i="5"/>
  <c r="M111" i="5" s="1"/>
  <c r="Q111" i="5" s="1"/>
  <c r="H111" i="5"/>
  <c r="L111" i="5" s="1"/>
  <c r="P111" i="5" s="1"/>
  <c r="J238" i="5"/>
  <c r="N238" i="5" s="1"/>
  <c r="R238" i="5" s="1"/>
  <c r="H238" i="5"/>
  <c r="L238" i="5" s="1"/>
  <c r="P238" i="5" s="1"/>
  <c r="F238" i="5"/>
  <c r="V238" i="5" s="1"/>
  <c r="I238" i="5"/>
  <c r="M238" i="5" s="1"/>
  <c r="G238" i="5"/>
  <c r="K238" i="5" s="1"/>
  <c r="O238" i="5" s="1"/>
  <c r="F214" i="5"/>
  <c r="V214" i="5" s="1"/>
  <c r="J214" i="5"/>
  <c r="N214" i="5" s="1"/>
  <c r="R214" i="5" s="1"/>
  <c r="I214" i="5"/>
  <c r="M214" i="5" s="1"/>
  <c r="Q214" i="5" s="1"/>
  <c r="H214" i="5"/>
  <c r="L214" i="5" s="1"/>
  <c r="P214" i="5" s="1"/>
  <c r="G214" i="5"/>
  <c r="K214" i="5" s="1"/>
  <c r="O214" i="5" s="1"/>
  <c r="T214" i="5" s="1"/>
  <c r="J124" i="5"/>
  <c r="N124" i="5" s="1"/>
  <c r="R124" i="5" s="1"/>
  <c r="I124" i="5"/>
  <c r="M124" i="5" s="1"/>
  <c r="Q124" i="5" s="1"/>
  <c r="F124" i="5"/>
  <c r="V124" i="5" s="1"/>
  <c r="H124" i="5"/>
  <c r="L124" i="5" s="1"/>
  <c r="P124" i="5" s="1"/>
  <c r="G124" i="5"/>
  <c r="K124" i="5" s="1"/>
  <c r="O124" i="5" s="1"/>
  <c r="H104" i="5"/>
  <c r="L104" i="5" s="1"/>
  <c r="P104" i="5" s="1"/>
  <c r="G104" i="5"/>
  <c r="K104" i="5" s="1"/>
  <c r="O104" i="5" s="1"/>
  <c r="F104" i="5"/>
  <c r="V104" i="5" s="1"/>
  <c r="J104" i="5"/>
  <c r="N104" i="5" s="1"/>
  <c r="R104" i="5" s="1"/>
  <c r="I104" i="5"/>
  <c r="M104" i="5" s="1"/>
  <c r="Q104" i="5" s="1"/>
  <c r="G107" i="5"/>
  <c r="K107" i="5" s="1"/>
  <c r="O107" i="5" s="1"/>
  <c r="I107" i="5"/>
  <c r="M107" i="5" s="1"/>
  <c r="Q107" i="5" s="1"/>
  <c r="F107" i="5"/>
  <c r="V107" i="5" s="1"/>
  <c r="J107" i="5"/>
  <c r="N107" i="5" s="1"/>
  <c r="R107" i="5" s="1"/>
  <c r="H107" i="5"/>
  <c r="L107" i="5" s="1"/>
  <c r="F210" i="5"/>
  <c r="V210" i="5" s="1"/>
  <c r="J210" i="5"/>
  <c r="N210" i="5" s="1"/>
  <c r="R210" i="5" s="1"/>
  <c r="I210" i="5"/>
  <c r="M210" i="5" s="1"/>
  <c r="Q210" i="5" s="1"/>
  <c r="H210" i="5"/>
  <c r="L210" i="5" s="1"/>
  <c r="P210" i="5" s="1"/>
  <c r="G210" i="5"/>
  <c r="K210" i="5" s="1"/>
  <c r="E221" i="1"/>
  <c r="D221" i="1"/>
  <c r="P216" i="1"/>
  <c r="D216" i="1"/>
  <c r="E216" i="1"/>
  <c r="P376" i="1"/>
  <c r="D376" i="1"/>
  <c r="E376" i="1"/>
  <c r="D432" i="1"/>
  <c r="E432" i="1"/>
  <c r="D61" i="1"/>
  <c r="E161" i="1"/>
  <c r="D161" i="1"/>
  <c r="P318" i="1"/>
  <c r="D318" i="1"/>
  <c r="E318" i="1"/>
  <c r="D114" i="1"/>
  <c r="E114" i="1"/>
  <c r="E265" i="1"/>
  <c r="D265" i="1"/>
  <c r="P313" i="1"/>
  <c r="D313" i="1"/>
  <c r="E313" i="1"/>
  <c r="P122" i="1"/>
  <c r="D122" i="1"/>
  <c r="E122" i="1"/>
  <c r="P268" i="1"/>
  <c r="P68" i="1"/>
  <c r="D68" i="1"/>
  <c r="E217" i="1"/>
  <c r="D217" i="1"/>
  <c r="P328" i="1"/>
  <c r="P317" i="1"/>
  <c r="E317" i="1"/>
  <c r="D317" i="1"/>
  <c r="D371" i="1"/>
  <c r="E371" i="1"/>
  <c r="D425" i="1"/>
  <c r="E425" i="1"/>
  <c r="P398" i="1"/>
  <c r="P327" i="1"/>
  <c r="E396" i="1"/>
  <c r="D396" i="1"/>
  <c r="D279" i="1"/>
  <c r="E279" i="1"/>
  <c r="D374" i="1"/>
  <c r="E374" i="1"/>
  <c r="P425" i="1"/>
  <c r="P324" i="1"/>
  <c r="D403" i="1"/>
  <c r="E403" i="1"/>
  <c r="D319" i="1"/>
  <c r="E319" i="1"/>
  <c r="E404" i="1"/>
  <c r="D404" i="1"/>
  <c r="P329" i="1"/>
  <c r="J220" i="5"/>
  <c r="N220" i="5" s="1"/>
  <c r="R220" i="5" s="1"/>
  <c r="I220" i="5"/>
  <c r="M220" i="5" s="1"/>
  <c r="Q220" i="5" s="1"/>
  <c r="H220" i="5"/>
  <c r="L220" i="5" s="1"/>
  <c r="P220" i="5" s="1"/>
  <c r="G220" i="5"/>
  <c r="K220" i="5" s="1"/>
  <c r="F220" i="5"/>
  <c r="V220" i="5" s="1"/>
  <c r="J195" i="5"/>
  <c r="N195" i="5" s="1"/>
  <c r="R195" i="5" s="1"/>
  <c r="H195" i="5"/>
  <c r="L195" i="5" s="1"/>
  <c r="P195" i="5" s="1"/>
  <c r="G195" i="5"/>
  <c r="K195" i="5" s="1"/>
  <c r="F195" i="5"/>
  <c r="V195" i="5" s="1"/>
  <c r="I195" i="5"/>
  <c r="M195" i="5" s="1"/>
  <c r="Q195" i="5" s="1"/>
  <c r="F163" i="5"/>
  <c r="V163" i="5" s="1"/>
  <c r="I163" i="5"/>
  <c r="M163" i="5" s="1"/>
  <c r="Q163" i="5" s="1"/>
  <c r="H163" i="5"/>
  <c r="L163" i="5" s="1"/>
  <c r="P163" i="5" s="1"/>
  <c r="J163" i="5"/>
  <c r="N163" i="5" s="1"/>
  <c r="R163" i="5" s="1"/>
  <c r="G163" i="5"/>
  <c r="K163" i="5" s="1"/>
  <c r="O163" i="5" s="1"/>
  <c r="H248" i="5"/>
  <c r="L248" i="5" s="1"/>
  <c r="P248" i="5" s="1"/>
  <c r="I248" i="5"/>
  <c r="M248" i="5" s="1"/>
  <c r="Q248" i="5" s="1"/>
  <c r="J248" i="5"/>
  <c r="N248" i="5" s="1"/>
  <c r="R248" i="5" s="1"/>
  <c r="G248" i="5"/>
  <c r="K248" i="5" s="1"/>
  <c r="F248" i="5"/>
  <c r="V248" i="5" s="1"/>
  <c r="F135" i="5"/>
  <c r="V135" i="5" s="1"/>
  <c r="G135" i="5"/>
  <c r="K135" i="5" s="1"/>
  <c r="O135" i="5" s="1"/>
  <c r="H135" i="5"/>
  <c r="L135" i="5" s="1"/>
  <c r="J135" i="5"/>
  <c r="N135" i="5" s="1"/>
  <c r="R135" i="5" s="1"/>
  <c r="I135" i="5"/>
  <c r="M135" i="5" s="1"/>
  <c r="Q135" i="5" s="1"/>
  <c r="F218" i="5"/>
  <c r="V218" i="5" s="1"/>
  <c r="J218" i="5"/>
  <c r="N218" i="5" s="1"/>
  <c r="R218" i="5" s="1"/>
  <c r="H218" i="5"/>
  <c r="L218" i="5" s="1"/>
  <c r="P218" i="5" s="1"/>
  <c r="I218" i="5"/>
  <c r="M218" i="5" s="1"/>
  <c r="Q218" i="5" s="1"/>
  <c r="G218" i="5"/>
  <c r="K218" i="5" s="1"/>
  <c r="H140" i="5"/>
  <c r="L140" i="5" s="1"/>
  <c r="P140" i="5" s="1"/>
  <c r="G140" i="5"/>
  <c r="K140" i="5" s="1"/>
  <c r="O140" i="5" s="1"/>
  <c r="F140" i="5"/>
  <c r="V140" i="5" s="1"/>
  <c r="I140" i="5"/>
  <c r="M140" i="5" s="1"/>
  <c r="Q140" i="5" s="1"/>
  <c r="J140" i="5"/>
  <c r="N140" i="5" s="1"/>
  <c r="R140" i="5" s="1"/>
  <c r="J139" i="5"/>
  <c r="N139" i="5" s="1"/>
  <c r="R139" i="5" s="1"/>
  <c r="I139" i="5"/>
  <c r="M139" i="5" s="1"/>
  <c r="Q139" i="5" s="1"/>
  <c r="H139" i="5"/>
  <c r="L139" i="5" s="1"/>
  <c r="P139" i="5" s="1"/>
  <c r="G139" i="5"/>
  <c r="K139" i="5" s="1"/>
  <c r="F139" i="5"/>
  <c r="V139" i="5" s="1"/>
  <c r="J109" i="5"/>
  <c r="N109" i="5" s="1"/>
  <c r="R109" i="5" s="1"/>
  <c r="I109" i="5"/>
  <c r="M109" i="5" s="1"/>
  <c r="Q109" i="5" s="1"/>
  <c r="H109" i="5"/>
  <c r="L109" i="5" s="1"/>
  <c r="P109" i="5" s="1"/>
  <c r="G109" i="5"/>
  <c r="K109" i="5" s="1"/>
  <c r="O109" i="5" s="1"/>
  <c r="F109" i="5"/>
  <c r="V109" i="5" s="1"/>
  <c r="H212" i="5"/>
  <c r="L212" i="5" s="1"/>
  <c r="P212" i="5" s="1"/>
  <c r="G212" i="5"/>
  <c r="K212" i="5" s="1"/>
  <c r="O212" i="5" s="1"/>
  <c r="F212" i="5"/>
  <c r="V212" i="5" s="1"/>
  <c r="J212" i="5"/>
  <c r="N212" i="5" s="1"/>
  <c r="R212" i="5" s="1"/>
  <c r="I212" i="5"/>
  <c r="M212" i="5" s="1"/>
  <c r="Q212" i="5" s="1"/>
  <c r="F38" i="5"/>
  <c r="V38" i="5" s="1"/>
  <c r="G38" i="5"/>
  <c r="K38" i="5" s="1"/>
  <c r="O38" i="5" s="1"/>
  <c r="I38" i="5"/>
  <c r="M38" i="5" s="1"/>
  <c r="Q38" i="5" s="1"/>
  <c r="H38" i="5"/>
  <c r="L38" i="5" s="1"/>
  <c r="P38" i="5" s="1"/>
  <c r="F75" i="5"/>
  <c r="V75" i="5" s="1"/>
  <c r="H75" i="5"/>
  <c r="L75" i="5" s="1"/>
  <c r="P75" i="5" s="1"/>
  <c r="J75" i="5"/>
  <c r="N75" i="5" s="1"/>
  <c r="R75" i="5" s="1"/>
  <c r="I75" i="5"/>
  <c r="M75" i="5" s="1"/>
  <c r="Q75" i="5" s="1"/>
  <c r="G75" i="5"/>
  <c r="K75" i="5" s="1"/>
  <c r="O75" i="5" s="1"/>
  <c r="J66" i="5"/>
  <c r="N66" i="5" s="1"/>
  <c r="R66" i="5" s="1"/>
  <c r="F66" i="5"/>
  <c r="V66" i="5" s="1"/>
  <c r="I66" i="5"/>
  <c r="M66" i="5" s="1"/>
  <c r="Q66" i="5" s="1"/>
  <c r="G66" i="5"/>
  <c r="K66" i="5" s="1"/>
  <c r="O66" i="5" s="1"/>
  <c r="H66" i="5"/>
  <c r="L66" i="5" s="1"/>
  <c r="P66" i="5" s="1"/>
  <c r="J73" i="5"/>
  <c r="N73" i="5" s="1"/>
  <c r="R73" i="5" s="1"/>
  <c r="I73" i="5"/>
  <c r="M73" i="5" s="1"/>
  <c r="Q73" i="5" s="1"/>
  <c r="H73" i="5"/>
  <c r="L73" i="5" s="1"/>
  <c r="P73" i="5" s="1"/>
  <c r="G73" i="5"/>
  <c r="K73" i="5" s="1"/>
  <c r="O73" i="5" s="1"/>
  <c r="U73" i="5" s="1"/>
  <c r="F73" i="5"/>
  <c r="V73" i="5" s="1"/>
  <c r="G84" i="5"/>
  <c r="K84" i="5" s="1"/>
  <c r="O84" i="5" s="1"/>
  <c r="F84" i="5"/>
  <c r="V84" i="5" s="1"/>
  <c r="J84" i="5"/>
  <c r="N84" i="5" s="1"/>
  <c r="R84" i="5" s="1"/>
  <c r="I84" i="5"/>
  <c r="M84" i="5" s="1"/>
  <c r="Q84" i="5" s="1"/>
  <c r="H84" i="5"/>
  <c r="L84" i="5" s="1"/>
  <c r="P84" i="5" s="1"/>
  <c r="G69" i="5"/>
  <c r="K69" i="5" s="1"/>
  <c r="O69" i="5" s="1"/>
  <c r="I69" i="5"/>
  <c r="M69" i="5" s="1"/>
  <c r="Q69" i="5" s="1"/>
  <c r="F69" i="5"/>
  <c r="V69" i="5" s="1"/>
  <c r="J69" i="5"/>
  <c r="N69" i="5" s="1"/>
  <c r="R69" i="5" s="1"/>
  <c r="H69" i="5"/>
  <c r="L69" i="5" s="1"/>
  <c r="P69" i="5" s="1"/>
  <c r="I71" i="5"/>
  <c r="M71" i="5" s="1"/>
  <c r="Q71" i="5" s="1"/>
  <c r="H71" i="5"/>
  <c r="L71" i="5" s="1"/>
  <c r="P71" i="5" s="1"/>
  <c r="G71" i="5"/>
  <c r="K71" i="5" s="1"/>
  <c r="O71" i="5" s="1"/>
  <c r="F71" i="5"/>
  <c r="V71" i="5" s="1"/>
  <c r="J71" i="5"/>
  <c r="N71" i="5" s="1"/>
  <c r="R71" i="5" s="1"/>
  <c r="J78" i="5"/>
  <c r="N78" i="5" s="1"/>
  <c r="R78" i="5" s="1"/>
  <c r="F78" i="5"/>
  <c r="V78" i="5" s="1"/>
  <c r="G78" i="5"/>
  <c r="K78" i="5" s="1"/>
  <c r="O78" i="5" s="1"/>
  <c r="U78" i="5" s="1"/>
  <c r="I78" i="5"/>
  <c r="M78" i="5" s="1"/>
  <c r="Q78" i="5" s="1"/>
  <c r="H78" i="5"/>
  <c r="L78" i="5" s="1"/>
  <c r="P78" i="5" s="1"/>
  <c r="H80" i="5"/>
  <c r="L80" i="5" s="1"/>
  <c r="P80" i="5" s="1"/>
  <c r="G80" i="5"/>
  <c r="K80" i="5" s="1"/>
  <c r="O80" i="5" s="1"/>
  <c r="F80" i="5"/>
  <c r="V80" i="5" s="1"/>
  <c r="I80" i="5"/>
  <c r="M80" i="5" s="1"/>
  <c r="Q80" i="5" s="1"/>
  <c r="J80" i="5"/>
  <c r="N80" i="5" s="1"/>
  <c r="R80" i="5" s="1"/>
  <c r="J70" i="5"/>
  <c r="N70" i="5" s="1"/>
  <c r="R70" i="5" s="1"/>
  <c r="F70" i="5"/>
  <c r="V70" i="5" s="1"/>
  <c r="G70" i="5"/>
  <c r="K70" i="5" s="1"/>
  <c r="O70" i="5" s="1"/>
  <c r="H70" i="5"/>
  <c r="L70" i="5" s="1"/>
  <c r="P70" i="5" s="1"/>
  <c r="I70" i="5"/>
  <c r="M70" i="5" s="1"/>
  <c r="Q70" i="5" s="1"/>
  <c r="J74" i="5"/>
  <c r="N74" i="5" s="1"/>
  <c r="R74" i="5" s="1"/>
  <c r="F74" i="5"/>
  <c r="V74" i="5" s="1"/>
  <c r="I74" i="5"/>
  <c r="M74" i="5" s="1"/>
  <c r="Q74" i="5" s="1"/>
  <c r="G74" i="5"/>
  <c r="K74" i="5" s="1"/>
  <c r="O74" i="5" s="1"/>
  <c r="H74" i="5"/>
  <c r="L74" i="5" s="1"/>
  <c r="P74" i="5" s="1"/>
  <c r="H68" i="5"/>
  <c r="L68" i="5" s="1"/>
  <c r="P68" i="5" s="1"/>
  <c r="G68" i="5"/>
  <c r="K68" i="5" s="1"/>
  <c r="O68" i="5" s="1"/>
  <c r="F68" i="5"/>
  <c r="V68" i="5" s="1"/>
  <c r="J68" i="5"/>
  <c r="N68" i="5" s="1"/>
  <c r="R68" i="5" s="1"/>
  <c r="I68" i="5"/>
  <c r="M68" i="5" s="1"/>
  <c r="Q68" i="5" s="1"/>
  <c r="G77" i="5"/>
  <c r="K77" i="5" s="1"/>
  <c r="O77" i="5" s="1"/>
  <c r="F77" i="5"/>
  <c r="V77" i="5" s="1"/>
  <c r="I77" i="5"/>
  <c r="M77" i="5" s="1"/>
  <c r="Q77" i="5" s="1"/>
  <c r="J77" i="5"/>
  <c r="N77" i="5" s="1"/>
  <c r="R77" i="5" s="1"/>
  <c r="H77" i="5"/>
  <c r="L77" i="5" s="1"/>
  <c r="P77" i="5" s="1"/>
  <c r="J82" i="5"/>
  <c r="N82" i="5" s="1"/>
  <c r="R82" i="5" s="1"/>
  <c r="F82" i="5"/>
  <c r="V82" i="5" s="1"/>
  <c r="H82" i="5"/>
  <c r="L82" i="5" s="1"/>
  <c r="P82" i="5" s="1"/>
  <c r="I82" i="5"/>
  <c r="M82" i="5" s="1"/>
  <c r="Q82" i="5" s="1"/>
  <c r="G82" i="5"/>
  <c r="K82" i="5" s="1"/>
  <c r="O82" i="5" s="1"/>
  <c r="G67" i="5"/>
  <c r="K67" i="5" s="1"/>
  <c r="O67" i="5" s="1"/>
  <c r="I67" i="5"/>
  <c r="M67" i="5" s="1"/>
  <c r="Q67" i="5" s="1"/>
  <c r="F67" i="5"/>
  <c r="V67" i="5" s="1"/>
  <c r="J67" i="5"/>
  <c r="N67" i="5" s="1"/>
  <c r="R67" i="5" s="1"/>
  <c r="H67" i="5"/>
  <c r="L67" i="5" s="1"/>
  <c r="P67" i="5" s="1"/>
  <c r="G76" i="5"/>
  <c r="K76" i="5" s="1"/>
  <c r="O76" i="5" s="1"/>
  <c r="F76" i="5"/>
  <c r="V76" i="5" s="1"/>
  <c r="J76" i="5"/>
  <c r="N76" i="5" s="1"/>
  <c r="R76" i="5" s="1"/>
  <c r="I76" i="5"/>
  <c r="M76" i="5" s="1"/>
  <c r="Q76" i="5" s="1"/>
  <c r="H76" i="5"/>
  <c r="L76" i="5" s="1"/>
  <c r="P76" i="5" s="1"/>
  <c r="G79" i="5"/>
  <c r="K79" i="5" s="1"/>
  <c r="O79" i="5" s="1"/>
  <c r="H79" i="5"/>
  <c r="L79" i="5" s="1"/>
  <c r="P79" i="5" s="1"/>
  <c r="I79" i="5"/>
  <c r="M79" i="5" s="1"/>
  <c r="Q79" i="5" s="1"/>
  <c r="F79" i="5"/>
  <c r="V79" i="5" s="1"/>
  <c r="J79" i="5"/>
  <c r="N79" i="5" s="1"/>
  <c r="R79" i="5" s="1"/>
  <c r="J81" i="5"/>
  <c r="N81" i="5" s="1"/>
  <c r="R81" i="5" s="1"/>
  <c r="I81" i="5"/>
  <c r="M81" i="5" s="1"/>
  <c r="Q81" i="5" s="1"/>
  <c r="H81" i="5"/>
  <c r="L81" i="5" s="1"/>
  <c r="P81" i="5" s="1"/>
  <c r="G81" i="5"/>
  <c r="K81" i="5" s="1"/>
  <c r="O81" i="5" s="1"/>
  <c r="F81" i="5"/>
  <c r="V81" i="5" s="1"/>
  <c r="F83" i="5"/>
  <c r="V83" i="5" s="1"/>
  <c r="I83" i="5"/>
  <c r="M83" i="5" s="1"/>
  <c r="Q83" i="5" s="1"/>
  <c r="H83" i="5"/>
  <c r="L83" i="5" s="1"/>
  <c r="P83" i="5" s="1"/>
  <c r="J83" i="5"/>
  <c r="N83" i="5" s="1"/>
  <c r="R83" i="5" s="1"/>
  <c r="G83" i="5"/>
  <c r="K83" i="5" s="1"/>
  <c r="O83" i="5" s="1"/>
  <c r="I72" i="5"/>
  <c r="M72" i="5" s="1"/>
  <c r="Q72" i="5" s="1"/>
  <c r="H72" i="5"/>
  <c r="L72" i="5" s="1"/>
  <c r="P72" i="5" s="1"/>
  <c r="J72" i="5"/>
  <c r="N72" i="5" s="1"/>
  <c r="R72" i="5" s="1"/>
  <c r="G72" i="5"/>
  <c r="K72" i="5" s="1"/>
  <c r="O72" i="5" s="1"/>
  <c r="F72" i="5"/>
  <c r="V72" i="5" s="1"/>
  <c r="G43" i="5"/>
  <c r="K43" i="5" s="1"/>
  <c r="O43" i="5" s="1"/>
  <c r="J43" i="5"/>
  <c r="N43" i="5" s="1"/>
  <c r="R43" i="5" s="1"/>
  <c r="H43" i="5"/>
  <c r="L43" i="5" s="1"/>
  <c r="P43" i="5" s="1"/>
  <c r="I43" i="5"/>
  <c r="M43" i="5" s="1"/>
  <c r="Q43" i="5" s="1"/>
  <c r="F43" i="5"/>
  <c r="V43" i="5" s="1"/>
  <c r="G49" i="5"/>
  <c r="K49" i="5" s="1"/>
  <c r="O49" i="5" s="1"/>
  <c r="J49" i="5"/>
  <c r="N49" i="5" s="1"/>
  <c r="R49" i="5" s="1"/>
  <c r="H49" i="5"/>
  <c r="I49" i="5"/>
  <c r="M49" i="5" s="1"/>
  <c r="Q49" i="5" s="1"/>
  <c r="F49" i="5"/>
  <c r="V49" i="5" s="1"/>
  <c r="G53" i="5"/>
  <c r="K53" i="5" s="1"/>
  <c r="O53" i="5" s="1"/>
  <c r="J53" i="5"/>
  <c r="N53" i="5" s="1"/>
  <c r="R53" i="5" s="1"/>
  <c r="H53" i="5"/>
  <c r="L53" i="5" s="1"/>
  <c r="P53" i="5" s="1"/>
  <c r="I53" i="5"/>
  <c r="M53" i="5" s="1"/>
  <c r="Q53" i="5" s="1"/>
  <c r="F53" i="5"/>
  <c r="V53" i="5" s="1"/>
  <c r="G48" i="5"/>
  <c r="K48" i="5" s="1"/>
  <c r="O48" i="5" s="1"/>
  <c r="J48" i="5"/>
  <c r="N48" i="5" s="1"/>
  <c r="R48" i="5" s="1"/>
  <c r="H48" i="5"/>
  <c r="L48" i="5" s="1"/>
  <c r="P48" i="5" s="1"/>
  <c r="F48" i="5"/>
  <c r="V48" i="5" s="1"/>
  <c r="I48" i="5"/>
  <c r="M48" i="5" s="1"/>
  <c r="Q48" i="5" s="1"/>
  <c r="G42" i="5"/>
  <c r="K42" i="5" s="1"/>
  <c r="O42" i="5" s="1"/>
  <c r="J42" i="5"/>
  <c r="N42" i="5" s="1"/>
  <c r="R42" i="5" s="1"/>
  <c r="H42" i="5"/>
  <c r="L42" i="5" s="1"/>
  <c r="P42" i="5" s="1"/>
  <c r="F42" i="5"/>
  <c r="V42" i="5" s="1"/>
  <c r="I42" i="5"/>
  <c r="M42" i="5" s="1"/>
  <c r="Q42" i="5" s="1"/>
  <c r="J39" i="5"/>
  <c r="N39" i="5" s="1"/>
  <c r="R39" i="5" s="1"/>
  <c r="G39" i="5"/>
  <c r="K39" i="5" s="1"/>
  <c r="O39" i="5" s="1"/>
  <c r="I39" i="5"/>
  <c r="M39" i="5" s="1"/>
  <c r="Q39" i="5" s="1"/>
  <c r="F39" i="5"/>
  <c r="V39" i="5" s="1"/>
  <c r="H39" i="5"/>
  <c r="L39" i="5" s="1"/>
  <c r="P39" i="5" s="1"/>
  <c r="G45" i="5"/>
  <c r="K45" i="5" s="1"/>
  <c r="O45" i="5" s="1"/>
  <c r="J45" i="5"/>
  <c r="N45" i="5" s="1"/>
  <c r="R45" i="5" s="1"/>
  <c r="H45" i="5"/>
  <c r="L45" i="5" s="1"/>
  <c r="P45" i="5" s="1"/>
  <c r="I45" i="5"/>
  <c r="M45" i="5" s="1"/>
  <c r="Q45" i="5" s="1"/>
  <c r="F45" i="5"/>
  <c r="V45" i="5" s="1"/>
  <c r="G51" i="5"/>
  <c r="K51" i="5" s="1"/>
  <c r="O51" i="5" s="1"/>
  <c r="J51" i="5"/>
  <c r="N51" i="5" s="1"/>
  <c r="R51" i="5" s="1"/>
  <c r="H51" i="5"/>
  <c r="L51" i="5" s="1"/>
  <c r="P51" i="5" s="1"/>
  <c r="I51" i="5"/>
  <c r="M51" i="5" s="1"/>
  <c r="Q51" i="5" s="1"/>
  <c r="F51" i="5"/>
  <c r="V51" i="5" s="1"/>
  <c r="G50" i="5"/>
  <c r="K50" i="5" s="1"/>
  <c r="O50" i="5" s="1"/>
  <c r="J50" i="5"/>
  <c r="N50" i="5" s="1"/>
  <c r="R50" i="5" s="1"/>
  <c r="H50" i="5"/>
  <c r="L50" i="5" s="1"/>
  <c r="P50" i="5" s="1"/>
  <c r="F50" i="5"/>
  <c r="V50" i="5" s="1"/>
  <c r="I50" i="5"/>
  <c r="M50" i="5" s="1"/>
  <c r="Q50" i="5" s="1"/>
  <c r="G41" i="5"/>
  <c r="K41" i="5" s="1"/>
  <c r="O41" i="5" s="1"/>
  <c r="H41" i="5"/>
  <c r="L41" i="5" s="1"/>
  <c r="P41" i="5" s="1"/>
  <c r="J41" i="5"/>
  <c r="N41" i="5" s="1"/>
  <c r="R41" i="5" s="1"/>
  <c r="F41" i="5"/>
  <c r="V41" i="5" s="1"/>
  <c r="I41" i="5"/>
  <c r="M41" i="5" s="1"/>
  <c r="Q41" i="5" s="1"/>
  <c r="G40" i="5"/>
  <c r="K40" i="5" s="1"/>
  <c r="O40" i="5" s="1"/>
  <c r="J40" i="5"/>
  <c r="N40" i="5" s="1"/>
  <c r="R40" i="5" s="1"/>
  <c r="F40" i="5"/>
  <c r="V40" i="5" s="1"/>
  <c r="H40" i="5"/>
  <c r="L40" i="5" s="1"/>
  <c r="P40" i="5" s="1"/>
  <c r="I40" i="5"/>
  <c r="M40" i="5" s="1"/>
  <c r="Q40" i="5" s="1"/>
  <c r="H46" i="5"/>
  <c r="L46" i="5" s="1"/>
  <c r="P46" i="5" s="1"/>
  <c r="J46" i="5"/>
  <c r="N46" i="5" s="1"/>
  <c r="R46" i="5" s="1"/>
  <c r="F46" i="5"/>
  <c r="V46" i="5" s="1"/>
  <c r="I46" i="5"/>
  <c r="M46" i="5" s="1"/>
  <c r="Q46" i="5" s="1"/>
  <c r="G46" i="5"/>
  <c r="K46" i="5" s="1"/>
  <c r="O46" i="5" s="1"/>
  <c r="H54" i="5"/>
  <c r="L54" i="5" s="1"/>
  <c r="P54" i="5" s="1"/>
  <c r="J54" i="5"/>
  <c r="N54" i="5" s="1"/>
  <c r="R54" i="5" s="1"/>
  <c r="G54" i="5"/>
  <c r="F54" i="5"/>
  <c r="V54" i="5" s="1"/>
  <c r="I54" i="5"/>
  <c r="M54" i="5" s="1"/>
  <c r="Q54" i="5" s="1"/>
  <c r="G44" i="5"/>
  <c r="K44" i="5" s="1"/>
  <c r="O44" i="5" s="1"/>
  <c r="J44" i="5"/>
  <c r="N44" i="5" s="1"/>
  <c r="R44" i="5" s="1"/>
  <c r="H44" i="5"/>
  <c r="L44" i="5" s="1"/>
  <c r="P44" i="5" s="1"/>
  <c r="I44" i="5"/>
  <c r="M44" i="5" s="1"/>
  <c r="Q44" i="5" s="1"/>
  <c r="F44" i="5"/>
  <c r="V44" i="5" s="1"/>
  <c r="G55" i="5"/>
  <c r="K55" i="5" s="1"/>
  <c r="O55" i="5" s="1"/>
  <c r="J55" i="5"/>
  <c r="N55" i="5" s="1"/>
  <c r="R55" i="5" s="1"/>
  <c r="H55" i="5"/>
  <c r="L55" i="5" s="1"/>
  <c r="P55" i="5" s="1"/>
  <c r="F55" i="5"/>
  <c r="V55" i="5" s="1"/>
  <c r="I55" i="5"/>
  <c r="M55" i="5" s="1"/>
  <c r="Q55" i="5" s="1"/>
  <c r="G47" i="5"/>
  <c r="K47" i="5" s="1"/>
  <c r="O47" i="5" s="1"/>
  <c r="J47" i="5"/>
  <c r="N47" i="5" s="1"/>
  <c r="R47" i="5" s="1"/>
  <c r="F47" i="5"/>
  <c r="V47" i="5" s="1"/>
  <c r="I47" i="5"/>
  <c r="M47" i="5" s="1"/>
  <c r="Q47" i="5" s="1"/>
  <c r="H47" i="5"/>
  <c r="L47" i="5" s="1"/>
  <c r="P47" i="5" s="1"/>
  <c r="G52" i="5"/>
  <c r="K52" i="5" s="1"/>
  <c r="O52" i="5" s="1"/>
  <c r="J52" i="5"/>
  <c r="N52" i="5" s="1"/>
  <c r="R52" i="5" s="1"/>
  <c r="H52" i="5"/>
  <c r="L52" i="5" s="1"/>
  <c r="P52" i="5" s="1"/>
  <c r="F52" i="5"/>
  <c r="V52" i="5" s="1"/>
  <c r="I52" i="5"/>
  <c r="M52" i="5" s="1"/>
  <c r="Q52" i="5" s="1"/>
  <c r="K54" i="5"/>
  <c r="O54" i="5" s="1"/>
  <c r="L37" i="5"/>
  <c r="P37" i="5" s="1"/>
  <c r="K37" i="5"/>
  <c r="O37" i="5" s="1"/>
  <c r="L49" i="5"/>
  <c r="P49" i="5" s="1"/>
  <c r="D20" i="1"/>
  <c r="G69" i="1" s="1"/>
  <c r="G72" i="1" l="1"/>
  <c r="F70" i="1"/>
  <c r="G70" i="1"/>
  <c r="U217" i="5"/>
  <c r="G65" i="1"/>
  <c r="F65" i="1"/>
  <c r="S65" i="1" s="1"/>
  <c r="G75" i="1"/>
  <c r="J75" i="1" s="1"/>
  <c r="M75" i="1" s="1"/>
  <c r="G63" i="1"/>
  <c r="J63" i="1" s="1"/>
  <c r="M63" i="1" s="1"/>
  <c r="F63" i="1"/>
  <c r="G68" i="1"/>
  <c r="G77" i="1"/>
  <c r="F77" i="1"/>
  <c r="S77" i="1" s="1"/>
  <c r="F66" i="1"/>
  <c r="I66" i="1"/>
  <c r="G66" i="1"/>
  <c r="J66" i="1" s="1"/>
  <c r="M66" i="1" s="1"/>
  <c r="G59" i="1"/>
  <c r="F62" i="1"/>
  <c r="G62" i="1"/>
  <c r="U72" i="5"/>
  <c r="G71" i="1"/>
  <c r="F71" i="1"/>
  <c r="F67" i="1"/>
  <c r="S67" i="1" s="1"/>
  <c r="H67" i="1"/>
  <c r="G67" i="1"/>
  <c r="J67" i="1" s="1"/>
  <c r="M67" i="1" s="1"/>
  <c r="U52" i="5"/>
  <c r="G73" i="1"/>
  <c r="G64" i="1"/>
  <c r="G74" i="1"/>
  <c r="F74" i="1"/>
  <c r="S74" i="1" s="1"/>
  <c r="G60" i="1"/>
  <c r="J60" i="1" s="1"/>
  <c r="M60" i="1" s="1"/>
  <c r="G76" i="1"/>
  <c r="G61" i="1"/>
  <c r="F61" i="1"/>
  <c r="U138" i="5"/>
  <c r="U151" i="5"/>
  <c r="U250" i="5"/>
  <c r="U75" i="5"/>
  <c r="U82" i="5"/>
  <c r="U74" i="5"/>
  <c r="X74" i="5" s="1"/>
  <c r="Y74" i="5" s="1"/>
  <c r="U66" i="5"/>
  <c r="X66" i="5" s="1"/>
  <c r="Y66" i="5" s="1"/>
  <c r="U163" i="5"/>
  <c r="U221" i="5"/>
  <c r="U130" i="5"/>
  <c r="U50" i="5"/>
  <c r="U193" i="5"/>
  <c r="U159" i="5"/>
  <c r="U183" i="5"/>
  <c r="U181" i="5"/>
  <c r="U95" i="5"/>
  <c r="U188" i="5"/>
  <c r="U182" i="5"/>
  <c r="X182" i="5" s="1"/>
  <c r="Y182" i="5" s="1"/>
  <c r="U134" i="5"/>
  <c r="X134" i="5" s="1"/>
  <c r="Y134" i="5" s="1"/>
  <c r="U161" i="5"/>
  <c r="X161" i="5" s="1"/>
  <c r="Y161" i="5" s="1"/>
  <c r="U94" i="5"/>
  <c r="U152" i="5"/>
  <c r="U168" i="5"/>
  <c r="U150" i="5"/>
  <c r="X150" i="5" s="1"/>
  <c r="Y150" i="5" s="1"/>
  <c r="U98" i="5"/>
  <c r="U209" i="5"/>
  <c r="X209" i="5" s="1"/>
  <c r="Y209" i="5" s="1"/>
  <c r="U189" i="5"/>
  <c r="X189" i="5" s="1"/>
  <c r="Y189" i="5" s="1"/>
  <c r="U206" i="5"/>
  <c r="X206" i="5" s="1"/>
  <c r="Y206" i="5" s="1"/>
  <c r="U54" i="5"/>
  <c r="U157" i="5"/>
  <c r="X157" i="5" s="1"/>
  <c r="Y157" i="5" s="1"/>
  <c r="U100" i="5"/>
  <c r="X100" i="5" s="1"/>
  <c r="Y100" i="5" s="1"/>
  <c r="U190" i="5"/>
  <c r="X190" i="5" s="1"/>
  <c r="Y190" i="5" s="1"/>
  <c r="U239" i="5"/>
  <c r="U129" i="5"/>
  <c r="X129" i="5" s="1"/>
  <c r="Y129" i="5" s="1"/>
  <c r="U223" i="5"/>
  <c r="X223" i="5" s="1"/>
  <c r="Y223" i="5" s="1"/>
  <c r="U106" i="5"/>
  <c r="X106" i="5" s="1"/>
  <c r="Y106" i="5" s="1"/>
  <c r="U154" i="5"/>
  <c r="X154" i="5" s="1"/>
  <c r="Y154" i="5" s="1"/>
  <c r="U49" i="5"/>
  <c r="U102" i="5"/>
  <c r="U45" i="5"/>
  <c r="U80" i="5"/>
  <c r="U46" i="5"/>
  <c r="X46" i="5" s="1"/>
  <c r="Y46" i="5" s="1"/>
  <c r="U81" i="5"/>
  <c r="X81" i="5" s="1"/>
  <c r="Y81" i="5" s="1"/>
  <c r="U68" i="5"/>
  <c r="U71" i="5"/>
  <c r="U164" i="5"/>
  <c r="U186" i="5"/>
  <c r="X186" i="5" s="1"/>
  <c r="Y186" i="5" s="1"/>
  <c r="U224" i="5"/>
  <c r="U247" i="5"/>
  <c r="U178" i="5"/>
  <c r="X178" i="5" s="1"/>
  <c r="Y178" i="5" s="1"/>
  <c r="U191" i="5"/>
  <c r="X191" i="5" s="1"/>
  <c r="Y191" i="5" s="1"/>
  <c r="U103" i="5"/>
  <c r="X103" i="5" s="1"/>
  <c r="Y103" i="5" s="1"/>
  <c r="U55" i="5"/>
  <c r="U76" i="5"/>
  <c r="X76" i="5" s="1"/>
  <c r="Y76" i="5" s="1"/>
  <c r="U38" i="5"/>
  <c r="X38" i="5" s="1"/>
  <c r="Y38" i="5" s="1"/>
  <c r="U69" i="5"/>
  <c r="T38" i="5"/>
  <c r="W38" i="5" s="1"/>
  <c r="U70" i="5"/>
  <c r="X70" i="5" s="1"/>
  <c r="Y70" i="5" s="1"/>
  <c r="U158" i="5"/>
  <c r="X158" i="5" s="1"/>
  <c r="Y158" i="5" s="1"/>
  <c r="U125" i="5"/>
  <c r="U97" i="5"/>
  <c r="U44" i="5"/>
  <c r="U156" i="5"/>
  <c r="X156" i="5" s="1"/>
  <c r="Y156" i="5" s="1"/>
  <c r="U112" i="5"/>
  <c r="U101" i="5"/>
  <c r="U108" i="5"/>
  <c r="X108" i="5" s="1"/>
  <c r="Y108" i="5" s="1"/>
  <c r="U105" i="5"/>
  <c r="X105" i="5" s="1"/>
  <c r="Y105" i="5" s="1"/>
  <c r="U47" i="5"/>
  <c r="U132" i="5"/>
  <c r="X132" i="5" s="1"/>
  <c r="Y132" i="5" s="1"/>
  <c r="U249" i="5"/>
  <c r="U48" i="5"/>
  <c r="U41" i="5"/>
  <c r="U109" i="5"/>
  <c r="U124" i="5"/>
  <c r="X124" i="5" s="1"/>
  <c r="Y124" i="5" s="1"/>
  <c r="U237" i="5"/>
  <c r="X237" i="5" s="1"/>
  <c r="Y237" i="5" s="1"/>
  <c r="U42" i="5"/>
  <c r="U245" i="5"/>
  <c r="X245" i="5" s="1"/>
  <c r="Y245" i="5" s="1"/>
  <c r="U243" i="5"/>
  <c r="X243" i="5" s="1"/>
  <c r="Y243" i="5" s="1"/>
  <c r="T138" i="5"/>
  <c r="W138" i="5" s="1"/>
  <c r="U136" i="5"/>
  <c r="U165" i="5"/>
  <c r="U99" i="5"/>
  <c r="X99" i="5" s="1"/>
  <c r="Y99" i="5" s="1"/>
  <c r="U251" i="5"/>
  <c r="X251" i="5" s="1"/>
  <c r="Y251" i="5" s="1"/>
  <c r="U51" i="5"/>
  <c r="U214" i="5"/>
  <c r="U40" i="5"/>
  <c r="T37" i="5"/>
  <c r="U39" i="5"/>
  <c r="U53" i="5"/>
  <c r="X53" i="5" s="1"/>
  <c r="Y53" i="5" s="1"/>
  <c r="U83" i="5"/>
  <c r="X83" i="5" s="1"/>
  <c r="Y83" i="5" s="1"/>
  <c r="U67" i="5"/>
  <c r="X67" i="5" s="1"/>
  <c r="Y67" i="5" s="1"/>
  <c r="U140" i="5"/>
  <c r="U37" i="5"/>
  <c r="U212" i="5"/>
  <c r="U43" i="5"/>
  <c r="U77" i="5"/>
  <c r="X77" i="5" s="1"/>
  <c r="Y77" i="5" s="1"/>
  <c r="U84" i="5"/>
  <c r="X84" i="5" s="1"/>
  <c r="Y84" i="5" s="1"/>
  <c r="U104" i="5"/>
  <c r="X104" i="5" s="1"/>
  <c r="Y104" i="5" s="1"/>
  <c r="U137" i="5"/>
  <c r="U96" i="5"/>
  <c r="U235" i="5"/>
  <c r="X235" i="5" s="1"/>
  <c r="Y235" i="5" s="1"/>
  <c r="U167" i="5"/>
  <c r="X167" i="5" s="1"/>
  <c r="Y167" i="5" s="1"/>
  <c r="U180" i="5"/>
  <c r="X180" i="5" s="1"/>
  <c r="Y180" i="5" s="1"/>
  <c r="U216" i="5"/>
  <c r="X216" i="5" s="1"/>
  <c r="Y216" i="5" s="1"/>
  <c r="U184" i="5"/>
  <c r="X184" i="5" s="1"/>
  <c r="Y184" i="5" s="1"/>
  <c r="U79" i="5"/>
  <c r="U155" i="5"/>
  <c r="X155" i="5" s="1"/>
  <c r="Y155" i="5" s="1"/>
  <c r="U123" i="5"/>
  <c r="U192" i="5"/>
  <c r="X192" i="5" s="1"/>
  <c r="Y192" i="5" s="1"/>
  <c r="T160" i="5"/>
  <c r="AC24" i="5" s="1"/>
  <c r="U219" i="5"/>
  <c r="X219" i="5" s="1"/>
  <c r="Y219" i="5" s="1"/>
  <c r="U246" i="5"/>
  <c r="X246" i="5" s="1"/>
  <c r="Y246" i="5" s="1"/>
  <c r="U196" i="5"/>
  <c r="X196" i="5" s="1"/>
  <c r="Y196" i="5" s="1"/>
  <c r="U160" i="5"/>
  <c r="X160" i="5" s="1"/>
  <c r="Y160" i="5" s="1"/>
  <c r="T158" i="5"/>
  <c r="W158" i="5" s="1"/>
  <c r="T156" i="5"/>
  <c r="W156" i="5" s="1"/>
  <c r="X95" i="5"/>
  <c r="Y95" i="5" s="1"/>
  <c r="X98" i="5"/>
  <c r="Y98" i="5" s="1"/>
  <c r="X181" i="5"/>
  <c r="Y181" i="5" s="1"/>
  <c r="W214" i="5"/>
  <c r="T130" i="5"/>
  <c r="W130" i="5" s="1"/>
  <c r="X102" i="5"/>
  <c r="Y102" i="5" s="1"/>
  <c r="T159" i="5"/>
  <c r="W159" i="5" s="1"/>
  <c r="T206" i="5"/>
  <c r="W206" i="5" s="1"/>
  <c r="J65" i="1"/>
  <c r="M65" i="1" s="1"/>
  <c r="F378" i="1"/>
  <c r="S378" i="1" s="1"/>
  <c r="G378" i="1"/>
  <c r="J378" i="1" s="1"/>
  <c r="G376" i="1"/>
  <c r="J376" i="1" s="1"/>
  <c r="M376" i="1" s="1"/>
  <c r="F376" i="1"/>
  <c r="S376" i="1" s="1"/>
  <c r="T104" i="5"/>
  <c r="W104" i="5" s="1"/>
  <c r="F399" i="1"/>
  <c r="S399" i="1" s="1"/>
  <c r="G399" i="1"/>
  <c r="J399" i="1" s="1"/>
  <c r="M399" i="1" s="1"/>
  <c r="T193" i="5"/>
  <c r="W193" i="5" s="1"/>
  <c r="X193" i="5"/>
  <c r="Y193" i="5" s="1"/>
  <c r="G397" i="1"/>
  <c r="J397" i="1" s="1"/>
  <c r="M397" i="1" s="1"/>
  <c r="F397" i="1"/>
  <c r="S397" i="1" s="1"/>
  <c r="F417" i="1"/>
  <c r="S417" i="1" s="1"/>
  <c r="G417" i="1"/>
  <c r="J417" i="1" s="1"/>
  <c r="M417" i="1" s="1"/>
  <c r="G316" i="1"/>
  <c r="J316" i="1" s="1"/>
  <c r="M316" i="1" s="1"/>
  <c r="F316" i="1"/>
  <c r="S316" i="1" s="1"/>
  <c r="G347" i="1"/>
  <c r="J347" i="1" s="1"/>
  <c r="F347" i="1"/>
  <c r="S347" i="1" s="1"/>
  <c r="G113" i="1"/>
  <c r="J113" i="1" s="1"/>
  <c r="M113" i="1" s="1"/>
  <c r="F113" i="1"/>
  <c r="S113" i="1" s="1"/>
  <c r="F173" i="1"/>
  <c r="S173" i="1" s="1"/>
  <c r="G173" i="1"/>
  <c r="J173" i="1" s="1"/>
  <c r="M173" i="1" s="1"/>
  <c r="G119" i="1"/>
  <c r="J119" i="1" s="1"/>
  <c r="M119" i="1" s="1"/>
  <c r="F119" i="1"/>
  <c r="S119" i="1" s="1"/>
  <c r="T129" i="5"/>
  <c r="W129" i="5" s="1"/>
  <c r="T151" i="5"/>
  <c r="W151" i="5" s="1"/>
  <c r="X151" i="5"/>
  <c r="Y151" i="5" s="1"/>
  <c r="T223" i="5"/>
  <c r="W223" i="5" s="1"/>
  <c r="S75" i="1"/>
  <c r="J69" i="1"/>
  <c r="M69" i="1" s="1"/>
  <c r="S69" i="1"/>
  <c r="G276" i="1"/>
  <c r="J276" i="1" s="1"/>
  <c r="F276" i="1"/>
  <c r="S276" i="1" s="1"/>
  <c r="F165" i="1"/>
  <c r="S165" i="1" s="1"/>
  <c r="G165" i="1"/>
  <c r="J165" i="1" s="1"/>
  <c r="M165" i="1" s="1"/>
  <c r="T180" i="5"/>
  <c r="W180" i="5" s="1"/>
  <c r="O241" i="5"/>
  <c r="T224" i="5"/>
  <c r="O234" i="5"/>
  <c r="W160" i="5"/>
  <c r="F329" i="1"/>
  <c r="S329" i="1" s="1"/>
  <c r="G329" i="1"/>
  <c r="J329" i="1" s="1"/>
  <c r="M329" i="1" s="1"/>
  <c r="F211" i="1"/>
  <c r="S211" i="1" s="1"/>
  <c r="G211" i="1"/>
  <c r="J211" i="1" s="1"/>
  <c r="M211" i="1" s="1"/>
  <c r="G267" i="1"/>
  <c r="J267" i="1" s="1"/>
  <c r="M267" i="1" s="1"/>
  <c r="F267" i="1"/>
  <c r="S267" i="1" s="1"/>
  <c r="T209" i="5"/>
  <c r="W209" i="5" s="1"/>
  <c r="T106" i="5"/>
  <c r="W106" i="5" s="1"/>
  <c r="F228" i="1"/>
  <c r="S228" i="1" s="1"/>
  <c r="G228" i="1"/>
  <c r="J228" i="1" s="1"/>
  <c r="M228" i="1" s="1"/>
  <c r="J62" i="1"/>
  <c r="M62" i="1" s="1"/>
  <c r="S62" i="1"/>
  <c r="S60" i="1"/>
  <c r="X101" i="5"/>
  <c r="Y101" i="5" s="1"/>
  <c r="T101" i="5"/>
  <c r="W101" i="5" s="1"/>
  <c r="T219" i="5"/>
  <c r="W219" i="5" s="1"/>
  <c r="G345" i="1"/>
  <c r="J345" i="1" s="1"/>
  <c r="M345" i="1" s="1"/>
  <c r="F345" i="1"/>
  <c r="S345" i="1" s="1"/>
  <c r="F392" i="1"/>
  <c r="S392" i="1" s="1"/>
  <c r="G392" i="1"/>
  <c r="J392" i="1" s="1"/>
  <c r="M392" i="1" s="1"/>
  <c r="G274" i="1"/>
  <c r="J274" i="1" s="1"/>
  <c r="M274" i="1" s="1"/>
  <c r="F274" i="1"/>
  <c r="S274" i="1" s="1"/>
  <c r="O248" i="5"/>
  <c r="U248" i="5" s="1"/>
  <c r="X248" i="5" s="1"/>
  <c r="Y248" i="5" s="1"/>
  <c r="J68" i="1"/>
  <c r="M68" i="1" s="1"/>
  <c r="S68" i="1"/>
  <c r="P127" i="5"/>
  <c r="U127" i="5" s="1"/>
  <c r="G320" i="1"/>
  <c r="J320" i="1" s="1"/>
  <c r="M320" i="1" s="1"/>
  <c r="F320" i="1"/>
  <c r="S320" i="1" s="1"/>
  <c r="F367" i="1"/>
  <c r="S367" i="1" s="1"/>
  <c r="G367" i="1"/>
  <c r="J367" i="1" s="1"/>
  <c r="F327" i="1"/>
  <c r="S327" i="1" s="1"/>
  <c r="G327" i="1"/>
  <c r="J327" i="1" s="1"/>
  <c r="M327" i="1" s="1"/>
  <c r="G271" i="1"/>
  <c r="J271" i="1" s="1"/>
  <c r="M271" i="1" s="1"/>
  <c r="F271" i="1"/>
  <c r="S271" i="1" s="1"/>
  <c r="F169" i="1"/>
  <c r="S169" i="1" s="1"/>
  <c r="G169" i="1"/>
  <c r="J169" i="1" s="1"/>
  <c r="M169" i="1" s="1"/>
  <c r="T250" i="5"/>
  <c r="W250" i="5" s="1"/>
  <c r="T251" i="5"/>
  <c r="W251" i="5" s="1"/>
  <c r="G427" i="1"/>
  <c r="J427" i="1" s="1"/>
  <c r="F427" i="1"/>
  <c r="S427" i="1" s="1"/>
  <c r="G403" i="1"/>
  <c r="J403" i="1" s="1"/>
  <c r="M403" i="1" s="1"/>
  <c r="F403" i="1"/>
  <c r="S403" i="1" s="1"/>
  <c r="P107" i="5"/>
  <c r="F396" i="1"/>
  <c r="S396" i="1" s="1"/>
  <c r="G396" i="1"/>
  <c r="J396" i="1" s="1"/>
  <c r="F317" i="1"/>
  <c r="S317" i="1" s="1"/>
  <c r="G317" i="1"/>
  <c r="J317" i="1" s="1"/>
  <c r="O162" i="5"/>
  <c r="T221" i="5"/>
  <c r="W221" i="5" s="1"/>
  <c r="F420" i="1"/>
  <c r="S420" i="1" s="1"/>
  <c r="G420" i="1"/>
  <c r="J420" i="1" s="1"/>
  <c r="M420" i="1" s="1"/>
  <c r="G381" i="1"/>
  <c r="J381" i="1" s="1"/>
  <c r="M381" i="1" s="1"/>
  <c r="F381" i="1"/>
  <c r="S381" i="1" s="1"/>
  <c r="G166" i="1"/>
  <c r="J166" i="1" s="1"/>
  <c r="M166" i="1" s="1"/>
  <c r="F166" i="1"/>
  <c r="S166" i="1" s="1"/>
  <c r="G120" i="1"/>
  <c r="J120" i="1" s="1"/>
  <c r="M120" i="1" s="1"/>
  <c r="F120" i="1"/>
  <c r="S120" i="1" s="1"/>
  <c r="O242" i="5"/>
  <c r="T245" i="5"/>
  <c r="W245" i="5" s="1"/>
  <c r="T164" i="5"/>
  <c r="X164" i="5"/>
  <c r="Y164" i="5" s="1"/>
  <c r="F400" i="1"/>
  <c r="S400" i="1" s="1"/>
  <c r="G400" i="1"/>
  <c r="J400" i="1" s="1"/>
  <c r="M400" i="1" s="1"/>
  <c r="T190" i="5"/>
  <c r="W190" i="5" s="1"/>
  <c r="T152" i="5"/>
  <c r="W152" i="5" s="1"/>
  <c r="F315" i="1"/>
  <c r="S315" i="1" s="1"/>
  <c r="G315" i="1"/>
  <c r="J315" i="1" s="1"/>
  <c r="M315" i="1" s="1"/>
  <c r="F223" i="1"/>
  <c r="S223" i="1" s="1"/>
  <c r="G223" i="1"/>
  <c r="J223" i="1" s="1"/>
  <c r="M223" i="1" s="1"/>
  <c r="T132" i="5"/>
  <c r="W132" i="5" s="1"/>
  <c r="O207" i="5"/>
  <c r="F325" i="1"/>
  <c r="S325" i="1" s="1"/>
  <c r="G325" i="1"/>
  <c r="J325" i="1" s="1"/>
  <c r="F356" i="1"/>
  <c r="S356" i="1" s="1"/>
  <c r="G356" i="1"/>
  <c r="J356" i="1" s="1"/>
  <c r="F273" i="1"/>
  <c r="S273" i="1" s="1"/>
  <c r="G273" i="1"/>
  <c r="J273" i="1" s="1"/>
  <c r="M273" i="1" s="1"/>
  <c r="X217" i="5"/>
  <c r="Y217" i="5" s="1"/>
  <c r="T217" i="5"/>
  <c r="W217" i="5" s="1"/>
  <c r="T237" i="5"/>
  <c r="W237" i="5" s="1"/>
  <c r="F365" i="1"/>
  <c r="S365" i="1" s="1"/>
  <c r="G365" i="1"/>
  <c r="J365" i="1" s="1"/>
  <c r="M365" i="1" s="1"/>
  <c r="F225" i="1"/>
  <c r="S225" i="1" s="1"/>
  <c r="G225" i="1"/>
  <c r="J225" i="1" s="1"/>
  <c r="M225" i="1" s="1"/>
  <c r="G416" i="1"/>
  <c r="J416" i="1" s="1"/>
  <c r="M416" i="1" s="1"/>
  <c r="F416" i="1"/>
  <c r="S416" i="1" s="1"/>
  <c r="X112" i="5"/>
  <c r="Y112" i="5" s="1"/>
  <c r="G424" i="1"/>
  <c r="J424" i="1" s="1"/>
  <c r="M424" i="1" s="1"/>
  <c r="F424" i="1"/>
  <c r="S424" i="1" s="1"/>
  <c r="G269" i="1"/>
  <c r="J269" i="1" s="1"/>
  <c r="F269" i="1"/>
  <c r="S269" i="1" s="1"/>
  <c r="O244" i="5"/>
  <c r="T182" i="5"/>
  <c r="W182" i="5" s="1"/>
  <c r="O208" i="5"/>
  <c r="G426" i="1"/>
  <c r="J426" i="1" s="1"/>
  <c r="M426" i="1" s="1"/>
  <c r="F426" i="1"/>
  <c r="S426" i="1" s="1"/>
  <c r="G379" i="1"/>
  <c r="J379" i="1" s="1"/>
  <c r="F379" i="1"/>
  <c r="S379" i="1" s="1"/>
  <c r="G121" i="1"/>
  <c r="J121" i="1" s="1"/>
  <c r="M121" i="1" s="1"/>
  <c r="F121" i="1"/>
  <c r="S121" i="1" s="1"/>
  <c r="G353" i="1"/>
  <c r="J353" i="1" s="1"/>
  <c r="M353" i="1" s="1"/>
  <c r="F353" i="1"/>
  <c r="S353" i="1" s="1"/>
  <c r="F111" i="1"/>
  <c r="S111" i="1" s="1"/>
  <c r="G111" i="1"/>
  <c r="J111" i="1" s="1"/>
  <c r="M111" i="1" s="1"/>
  <c r="P211" i="5"/>
  <c r="T211" i="5" s="1"/>
  <c r="W211" i="5" s="1"/>
  <c r="T189" i="5"/>
  <c r="W189" i="5" s="1"/>
  <c r="G423" i="1"/>
  <c r="J423" i="1" s="1"/>
  <c r="M423" i="1" s="1"/>
  <c r="F423" i="1"/>
  <c r="S423" i="1" s="1"/>
  <c r="F163" i="1"/>
  <c r="S163" i="1" s="1"/>
  <c r="G163" i="1"/>
  <c r="J163" i="1" s="1"/>
  <c r="M163" i="1" s="1"/>
  <c r="G402" i="1"/>
  <c r="J402" i="1" s="1"/>
  <c r="M402" i="1" s="1"/>
  <c r="F402" i="1"/>
  <c r="S402" i="1" s="1"/>
  <c r="S63" i="1"/>
  <c r="G112" i="1"/>
  <c r="J112" i="1" s="1"/>
  <c r="M112" i="1" s="1"/>
  <c r="F112" i="1"/>
  <c r="S112" i="1" s="1"/>
  <c r="F401" i="1"/>
  <c r="S401" i="1" s="1"/>
  <c r="G401" i="1"/>
  <c r="J401" i="1" s="1"/>
  <c r="M401" i="1" s="1"/>
  <c r="J72" i="1"/>
  <c r="M72" i="1" s="1"/>
  <c r="S72" i="1"/>
  <c r="T249" i="5"/>
  <c r="W249" i="5" s="1"/>
  <c r="X249" i="5"/>
  <c r="Y249" i="5" s="1"/>
  <c r="F268" i="1"/>
  <c r="S268" i="1" s="1"/>
  <c r="G268" i="1"/>
  <c r="J268" i="1" s="1"/>
  <c r="P215" i="5"/>
  <c r="T215" i="5" s="1"/>
  <c r="W215" i="5" s="1"/>
  <c r="T103" i="5"/>
  <c r="W103" i="5" s="1"/>
  <c r="G176" i="1"/>
  <c r="J176" i="1" s="1"/>
  <c r="M176" i="1" s="1"/>
  <c r="F176" i="1"/>
  <c r="S176" i="1" s="1"/>
  <c r="R153" i="5"/>
  <c r="T153" i="5" s="1"/>
  <c r="W153" i="5" s="1"/>
  <c r="F377" i="1"/>
  <c r="S377" i="1" s="1"/>
  <c r="G377" i="1"/>
  <c r="J377" i="1" s="1"/>
  <c r="M377" i="1" s="1"/>
  <c r="G408" i="1"/>
  <c r="J408" i="1" s="1"/>
  <c r="M408" i="1" s="1"/>
  <c r="F408" i="1"/>
  <c r="S408" i="1" s="1"/>
  <c r="F116" i="1"/>
  <c r="S116" i="1" s="1"/>
  <c r="G116" i="1"/>
  <c r="J116" i="1" s="1"/>
  <c r="M116" i="1" s="1"/>
  <c r="F265" i="1"/>
  <c r="S265" i="1" s="1"/>
  <c r="G265" i="1"/>
  <c r="J265" i="1" s="1"/>
  <c r="M265" i="1" s="1"/>
  <c r="O210" i="5"/>
  <c r="F410" i="1"/>
  <c r="S410" i="1" s="1"/>
  <c r="G410" i="1"/>
  <c r="J410" i="1" s="1"/>
  <c r="M410" i="1" s="1"/>
  <c r="G164" i="1"/>
  <c r="J164" i="1" s="1"/>
  <c r="M164" i="1" s="1"/>
  <c r="F164" i="1"/>
  <c r="S164" i="1" s="1"/>
  <c r="T239" i="5"/>
  <c r="W239" i="5" s="1"/>
  <c r="X239" i="5"/>
  <c r="Y239" i="5" s="1"/>
  <c r="T96" i="5"/>
  <c r="W96" i="5" s="1"/>
  <c r="X96" i="5"/>
  <c r="Y96" i="5" s="1"/>
  <c r="T212" i="5"/>
  <c r="W212" i="5" s="1"/>
  <c r="X212" i="5"/>
  <c r="Y212" i="5" s="1"/>
  <c r="O139" i="5"/>
  <c r="T135" i="5"/>
  <c r="W135" i="5" s="1"/>
  <c r="P135" i="5"/>
  <c r="T163" i="5"/>
  <c r="W163" i="5" s="1"/>
  <c r="O195" i="5"/>
  <c r="U195" i="5" s="1"/>
  <c r="X195" i="5" s="1"/>
  <c r="Y195" i="5" s="1"/>
  <c r="G122" i="1"/>
  <c r="J122" i="1" s="1"/>
  <c r="M122" i="1" s="1"/>
  <c r="F122" i="1"/>
  <c r="S122" i="1" s="1"/>
  <c r="G114" i="1"/>
  <c r="J114" i="1" s="1"/>
  <c r="M114" i="1" s="1"/>
  <c r="F114" i="1"/>
  <c r="S114" i="1" s="1"/>
  <c r="F216" i="1"/>
  <c r="S216" i="1" s="1"/>
  <c r="G216" i="1"/>
  <c r="J216" i="1" s="1"/>
  <c r="T157" i="5"/>
  <c r="W157" i="5" s="1"/>
  <c r="T100" i="5"/>
  <c r="W100" i="5" s="1"/>
  <c r="F227" i="1"/>
  <c r="S227" i="1" s="1"/>
  <c r="G227" i="1"/>
  <c r="J227" i="1" s="1"/>
  <c r="M227" i="1" s="1"/>
  <c r="F321" i="1"/>
  <c r="S321" i="1" s="1"/>
  <c r="G321" i="1"/>
  <c r="J321" i="1" s="1"/>
  <c r="M321" i="1" s="1"/>
  <c r="F326" i="1"/>
  <c r="S326" i="1" s="1"/>
  <c r="G326" i="1"/>
  <c r="J326" i="1" s="1"/>
  <c r="M326" i="1" s="1"/>
  <c r="G357" i="1"/>
  <c r="J357" i="1" s="1"/>
  <c r="M357" i="1" s="1"/>
  <c r="F357" i="1"/>
  <c r="S357" i="1" s="1"/>
  <c r="T161" i="5"/>
  <c r="T94" i="5"/>
  <c r="W94" i="5" s="1"/>
  <c r="X94" i="5"/>
  <c r="Y94" i="5" s="1"/>
  <c r="X159" i="5"/>
  <c r="Y159" i="5" s="1"/>
  <c r="F407" i="1"/>
  <c r="S407" i="1" s="1"/>
  <c r="G407" i="1"/>
  <c r="J407" i="1" s="1"/>
  <c r="M407" i="1" s="1"/>
  <c r="T102" i="5"/>
  <c r="W102" i="5" s="1"/>
  <c r="T186" i="5"/>
  <c r="W186" i="5" s="1"/>
  <c r="G358" i="1"/>
  <c r="J358" i="1" s="1"/>
  <c r="M358" i="1" s="1"/>
  <c r="F358" i="1"/>
  <c r="S358" i="1" s="1"/>
  <c r="S71" i="1"/>
  <c r="J71" i="1"/>
  <c r="M71" i="1" s="1"/>
  <c r="F174" i="1"/>
  <c r="S174" i="1" s="1"/>
  <c r="G174" i="1"/>
  <c r="J174" i="1" s="1"/>
  <c r="M174" i="1" s="1"/>
  <c r="F266" i="1"/>
  <c r="S266" i="1" s="1"/>
  <c r="G266" i="1"/>
  <c r="J266" i="1" s="1"/>
  <c r="M266" i="1" s="1"/>
  <c r="T95" i="5"/>
  <c r="W95" i="5" s="1"/>
  <c r="O126" i="5"/>
  <c r="T155" i="5"/>
  <c r="W155" i="5" s="1"/>
  <c r="T123" i="5"/>
  <c r="W123" i="5" s="1"/>
  <c r="X123" i="5"/>
  <c r="Y123" i="5" s="1"/>
  <c r="G348" i="1"/>
  <c r="J348" i="1" s="1"/>
  <c r="M348" i="1" s="1"/>
  <c r="F348" i="1"/>
  <c r="S348" i="1" s="1"/>
  <c r="F218" i="1"/>
  <c r="S218" i="1" s="1"/>
  <c r="G218" i="1"/>
  <c r="J218" i="1" s="1"/>
  <c r="M218" i="1" s="1"/>
  <c r="F382" i="1"/>
  <c r="S382" i="1" s="1"/>
  <c r="G382" i="1"/>
  <c r="J382" i="1" s="1"/>
  <c r="M382" i="1" s="1"/>
  <c r="F369" i="1"/>
  <c r="S369" i="1" s="1"/>
  <c r="G369" i="1"/>
  <c r="J369" i="1" s="1"/>
  <c r="M369" i="1" s="1"/>
  <c r="S66" i="1"/>
  <c r="T183" i="5"/>
  <c r="X183" i="5"/>
  <c r="Y183" i="5" s="1"/>
  <c r="F330" i="1"/>
  <c r="S330" i="1" s="1"/>
  <c r="G330" i="1"/>
  <c r="J330" i="1" s="1"/>
  <c r="M330" i="1" s="1"/>
  <c r="T98" i="5"/>
  <c r="W98" i="5" s="1"/>
  <c r="G352" i="1"/>
  <c r="J352" i="1" s="1"/>
  <c r="M352" i="1" s="1"/>
  <c r="F352" i="1"/>
  <c r="S352" i="1" s="1"/>
  <c r="F278" i="1"/>
  <c r="S278" i="1" s="1"/>
  <c r="G278" i="1"/>
  <c r="J278" i="1" s="1"/>
  <c r="M278" i="1" s="1"/>
  <c r="F214" i="1"/>
  <c r="S214" i="1" s="1"/>
  <c r="G214" i="1"/>
  <c r="J214" i="1" s="1"/>
  <c r="T112" i="5"/>
  <c r="W112" i="5" s="1"/>
  <c r="T191" i="5"/>
  <c r="W191" i="5" s="1"/>
  <c r="G398" i="1"/>
  <c r="J398" i="1" s="1"/>
  <c r="M398" i="1" s="1"/>
  <c r="F398" i="1"/>
  <c r="S398" i="1" s="1"/>
  <c r="J70" i="1"/>
  <c r="M70" i="1" s="1"/>
  <c r="S70" i="1"/>
  <c r="G322" i="1"/>
  <c r="J322" i="1" s="1"/>
  <c r="M322" i="1" s="1"/>
  <c r="F322" i="1"/>
  <c r="S322" i="1" s="1"/>
  <c r="G368" i="1"/>
  <c r="J368" i="1" s="1"/>
  <c r="M368" i="1" s="1"/>
  <c r="F368" i="1"/>
  <c r="S368" i="1" s="1"/>
  <c r="T154" i="5"/>
  <c r="W154" i="5" s="1"/>
  <c r="T134" i="5"/>
  <c r="W134" i="5" s="1"/>
  <c r="G431" i="1"/>
  <c r="J431" i="1" s="1"/>
  <c r="M431" i="1" s="1"/>
  <c r="F431" i="1"/>
  <c r="S431" i="1" s="1"/>
  <c r="F344" i="1"/>
  <c r="S344" i="1" s="1"/>
  <c r="G344" i="1"/>
  <c r="J344" i="1" s="1"/>
  <c r="O213" i="5"/>
  <c r="X140" i="5"/>
  <c r="Y140" i="5" s="1"/>
  <c r="T140" i="5"/>
  <c r="W140" i="5" s="1"/>
  <c r="G342" i="1"/>
  <c r="J342" i="1" s="1"/>
  <c r="M342" i="1" s="1"/>
  <c r="F342" i="1"/>
  <c r="S342" i="1" s="1"/>
  <c r="T125" i="5"/>
  <c r="W125" i="5" s="1"/>
  <c r="X125" i="5"/>
  <c r="Y125" i="5" s="1"/>
  <c r="F366" i="1"/>
  <c r="S366" i="1" s="1"/>
  <c r="G366" i="1"/>
  <c r="J366" i="1" s="1"/>
  <c r="X168" i="5"/>
  <c r="Y168" i="5" s="1"/>
  <c r="F429" i="1"/>
  <c r="S429" i="1" s="1"/>
  <c r="G429" i="1"/>
  <c r="J429" i="1" s="1"/>
  <c r="M429" i="1" s="1"/>
  <c r="O218" i="5"/>
  <c r="F374" i="1"/>
  <c r="S374" i="1" s="1"/>
  <c r="G374" i="1"/>
  <c r="J374" i="1" s="1"/>
  <c r="F425" i="1"/>
  <c r="S425" i="1" s="1"/>
  <c r="G425" i="1"/>
  <c r="J425" i="1" s="1"/>
  <c r="M425" i="1" s="1"/>
  <c r="J61" i="1"/>
  <c r="M61" i="1" s="1"/>
  <c r="S61" i="1"/>
  <c r="O111" i="5"/>
  <c r="X163" i="5"/>
  <c r="Y163" i="5" s="1"/>
  <c r="G328" i="1"/>
  <c r="J328" i="1" s="1"/>
  <c r="M328" i="1" s="1"/>
  <c r="F328" i="1"/>
  <c r="S328" i="1" s="1"/>
  <c r="F370" i="1"/>
  <c r="S370" i="1" s="1"/>
  <c r="G370" i="1"/>
  <c r="J370" i="1" s="1"/>
  <c r="X138" i="5"/>
  <c r="Y138" i="5" s="1"/>
  <c r="G394" i="1"/>
  <c r="J394" i="1" s="1"/>
  <c r="M394" i="1" s="1"/>
  <c r="F394" i="1"/>
  <c r="S394" i="1" s="1"/>
  <c r="F430" i="1"/>
  <c r="S430" i="1" s="1"/>
  <c r="G430" i="1"/>
  <c r="J430" i="1" s="1"/>
  <c r="M430" i="1" s="1"/>
  <c r="T235" i="5"/>
  <c r="W235" i="5" s="1"/>
  <c r="O222" i="5"/>
  <c r="F220" i="1"/>
  <c r="S220" i="1" s="1"/>
  <c r="G220" i="1"/>
  <c r="J220" i="1" s="1"/>
  <c r="M220" i="1" s="1"/>
  <c r="F270" i="1"/>
  <c r="S270" i="1" s="1"/>
  <c r="G270" i="1"/>
  <c r="J270" i="1" s="1"/>
  <c r="M270" i="1" s="1"/>
  <c r="W183" i="5"/>
  <c r="O133" i="5"/>
  <c r="T136" i="5"/>
  <c r="W136" i="5" s="1"/>
  <c r="X136" i="5"/>
  <c r="Y136" i="5" s="1"/>
  <c r="G355" i="1"/>
  <c r="J355" i="1" s="1"/>
  <c r="M355" i="1" s="1"/>
  <c r="F355" i="1"/>
  <c r="S355" i="1" s="1"/>
  <c r="G213" i="1"/>
  <c r="J213" i="1" s="1"/>
  <c r="M213" i="1" s="1"/>
  <c r="F213" i="1"/>
  <c r="S213" i="1" s="1"/>
  <c r="G110" i="1"/>
  <c r="J110" i="1" s="1"/>
  <c r="M110" i="1" s="1"/>
  <c r="F110" i="1"/>
  <c r="S110" i="1" s="1"/>
  <c r="T97" i="5"/>
  <c r="W97" i="5" s="1"/>
  <c r="X97" i="5"/>
  <c r="Y97" i="5" s="1"/>
  <c r="T165" i="5"/>
  <c r="X165" i="5"/>
  <c r="Y165" i="5" s="1"/>
  <c r="F125" i="1"/>
  <c r="S125" i="1" s="1"/>
  <c r="G125" i="1"/>
  <c r="J125" i="1" s="1"/>
  <c r="M125" i="1" s="1"/>
  <c r="F117" i="1"/>
  <c r="S117" i="1" s="1"/>
  <c r="G117" i="1"/>
  <c r="J117" i="1" s="1"/>
  <c r="M117" i="1" s="1"/>
  <c r="G343" i="1"/>
  <c r="J343" i="1" s="1"/>
  <c r="F343" i="1"/>
  <c r="S343" i="1" s="1"/>
  <c r="F395" i="1"/>
  <c r="S395" i="1" s="1"/>
  <c r="G395" i="1"/>
  <c r="J395" i="1" s="1"/>
  <c r="G275" i="1"/>
  <c r="J275" i="1" s="1"/>
  <c r="M275" i="1" s="1"/>
  <c r="F275" i="1"/>
  <c r="S275" i="1" s="1"/>
  <c r="F162" i="1"/>
  <c r="S162" i="1" s="1"/>
  <c r="G162" i="1"/>
  <c r="J162" i="1" s="1"/>
  <c r="M162" i="1" s="1"/>
  <c r="T246" i="5"/>
  <c r="W246" i="5" s="1"/>
  <c r="T196" i="5"/>
  <c r="W196" i="5" s="1"/>
  <c r="O131" i="5"/>
  <c r="G219" i="1"/>
  <c r="J219" i="1" s="1"/>
  <c r="M219" i="1" s="1"/>
  <c r="F219" i="1"/>
  <c r="S219" i="1" s="1"/>
  <c r="G346" i="1"/>
  <c r="J346" i="1" s="1"/>
  <c r="F346" i="1"/>
  <c r="S346" i="1" s="1"/>
  <c r="G124" i="1"/>
  <c r="J124" i="1" s="1"/>
  <c r="M124" i="1" s="1"/>
  <c r="F124" i="1"/>
  <c r="S124" i="1" s="1"/>
  <c r="T247" i="5"/>
  <c r="W247" i="5" s="1"/>
  <c r="X247" i="5"/>
  <c r="Y247" i="5" s="1"/>
  <c r="F170" i="1"/>
  <c r="S170" i="1" s="1"/>
  <c r="G170" i="1"/>
  <c r="J170" i="1" s="1"/>
  <c r="M170" i="1" s="1"/>
  <c r="F161" i="1"/>
  <c r="S161" i="1" s="1"/>
  <c r="G161" i="1"/>
  <c r="J161" i="1" s="1"/>
  <c r="G221" i="1"/>
  <c r="J221" i="1" s="1"/>
  <c r="M221" i="1" s="1"/>
  <c r="F221" i="1"/>
  <c r="S221" i="1" s="1"/>
  <c r="T124" i="5"/>
  <c r="W124" i="5" s="1"/>
  <c r="F178" i="1"/>
  <c r="S178" i="1" s="1"/>
  <c r="G178" i="1"/>
  <c r="J178" i="1" s="1"/>
  <c r="M178" i="1" s="1"/>
  <c r="F118" i="1"/>
  <c r="S118" i="1" s="1"/>
  <c r="G118" i="1"/>
  <c r="J118" i="1" s="1"/>
  <c r="M118" i="1" s="1"/>
  <c r="G404" i="1"/>
  <c r="J404" i="1" s="1"/>
  <c r="M404" i="1" s="1"/>
  <c r="F404" i="1"/>
  <c r="S404" i="1" s="1"/>
  <c r="F217" i="1"/>
  <c r="S217" i="1" s="1"/>
  <c r="G217" i="1"/>
  <c r="J217" i="1" s="1"/>
  <c r="M217" i="1" s="1"/>
  <c r="Q238" i="5"/>
  <c r="T238" i="5" s="1"/>
  <c r="W238" i="5" s="1"/>
  <c r="G341" i="1"/>
  <c r="J341" i="1" s="1"/>
  <c r="M341" i="1" s="1"/>
  <c r="F341" i="1"/>
  <c r="S341" i="1" s="1"/>
  <c r="P105" i="5"/>
  <c r="T105" i="5" s="1"/>
  <c r="W105" i="5" s="1"/>
  <c r="O128" i="5"/>
  <c r="O166" i="5"/>
  <c r="F115" i="1"/>
  <c r="S115" i="1" s="1"/>
  <c r="G115" i="1"/>
  <c r="J115" i="1" s="1"/>
  <c r="M115" i="1" s="1"/>
  <c r="S73" i="1"/>
  <c r="J73" i="1"/>
  <c r="M73" i="1" s="1"/>
  <c r="G314" i="1"/>
  <c r="J314" i="1" s="1"/>
  <c r="M314" i="1" s="1"/>
  <c r="F314" i="1"/>
  <c r="S314" i="1" s="1"/>
  <c r="F175" i="1"/>
  <c r="S175" i="1" s="1"/>
  <c r="G175" i="1"/>
  <c r="J175" i="1" s="1"/>
  <c r="M175" i="1" s="1"/>
  <c r="O185" i="5"/>
  <c r="G324" i="1"/>
  <c r="J324" i="1" s="1"/>
  <c r="F324" i="1"/>
  <c r="S324" i="1" s="1"/>
  <c r="T243" i="5"/>
  <c r="W243" i="5" s="1"/>
  <c r="X152" i="5"/>
  <c r="Y152" i="5" s="1"/>
  <c r="J77" i="1"/>
  <c r="M77" i="1" s="1"/>
  <c r="F350" i="1"/>
  <c r="S350" i="1" s="1"/>
  <c r="G350" i="1"/>
  <c r="J350" i="1" s="1"/>
  <c r="M350" i="1" s="1"/>
  <c r="J74" i="1"/>
  <c r="M74" i="1" s="1"/>
  <c r="G375" i="1"/>
  <c r="J375" i="1" s="1"/>
  <c r="M375" i="1" s="1"/>
  <c r="F375" i="1"/>
  <c r="S375" i="1" s="1"/>
  <c r="T192" i="5"/>
  <c r="W192" i="5" s="1"/>
  <c r="O236" i="5"/>
  <c r="U236" i="5" s="1"/>
  <c r="X236" i="5" s="1"/>
  <c r="Y236" i="5" s="1"/>
  <c r="T167" i="5"/>
  <c r="W167" i="5" s="1"/>
  <c r="F409" i="1"/>
  <c r="S409" i="1" s="1"/>
  <c r="G409" i="1"/>
  <c r="J409" i="1" s="1"/>
  <c r="M409" i="1" s="1"/>
  <c r="F380" i="1"/>
  <c r="S380" i="1" s="1"/>
  <c r="G380" i="1"/>
  <c r="J380" i="1" s="1"/>
  <c r="M380" i="1" s="1"/>
  <c r="G123" i="1"/>
  <c r="J123" i="1" s="1"/>
  <c r="M123" i="1" s="1"/>
  <c r="F123" i="1"/>
  <c r="S123" i="1" s="1"/>
  <c r="F393" i="1"/>
  <c r="S393" i="1" s="1"/>
  <c r="G393" i="1"/>
  <c r="J393" i="1" s="1"/>
  <c r="M393" i="1" s="1"/>
  <c r="F177" i="1"/>
  <c r="S177" i="1" s="1"/>
  <c r="G177" i="1"/>
  <c r="J177" i="1" s="1"/>
  <c r="M177" i="1" s="1"/>
  <c r="T150" i="5"/>
  <c r="W150" i="5" s="1"/>
  <c r="G331" i="1"/>
  <c r="J331" i="1" s="1"/>
  <c r="M331" i="1" s="1"/>
  <c r="F331" i="1"/>
  <c r="S331" i="1" s="1"/>
  <c r="F272" i="1"/>
  <c r="S272" i="1" s="1"/>
  <c r="G272" i="1"/>
  <c r="J272" i="1" s="1"/>
  <c r="M272" i="1" s="1"/>
  <c r="F264" i="1"/>
  <c r="S264" i="1" s="1"/>
  <c r="G264" i="1"/>
  <c r="J264" i="1" s="1"/>
  <c r="M264" i="1" s="1"/>
  <c r="X188" i="5"/>
  <c r="Y188" i="5" s="1"/>
  <c r="T188" i="5"/>
  <c r="W188" i="5" s="1"/>
  <c r="P110" i="5"/>
  <c r="U110" i="5" s="1"/>
  <c r="T178" i="5"/>
  <c r="W178" i="5" s="1"/>
  <c r="F415" i="1"/>
  <c r="S415" i="1" s="1"/>
  <c r="G415" i="1"/>
  <c r="J415" i="1" s="1"/>
  <c r="M415" i="1" s="1"/>
  <c r="F168" i="1"/>
  <c r="S168" i="1" s="1"/>
  <c r="G168" i="1"/>
  <c r="J168" i="1" s="1"/>
  <c r="M168" i="1" s="1"/>
  <c r="G349" i="1"/>
  <c r="J349" i="1" s="1"/>
  <c r="M349" i="1" s="1"/>
  <c r="F349" i="1"/>
  <c r="S349" i="1" s="1"/>
  <c r="G419" i="1"/>
  <c r="J419" i="1" s="1"/>
  <c r="F419" i="1"/>
  <c r="S419" i="1" s="1"/>
  <c r="F406" i="1"/>
  <c r="S406" i="1" s="1"/>
  <c r="G406" i="1"/>
  <c r="J406" i="1" s="1"/>
  <c r="M406" i="1" s="1"/>
  <c r="T99" i="5"/>
  <c r="W99" i="5" s="1"/>
  <c r="T108" i="5"/>
  <c r="W108" i="5" s="1"/>
  <c r="F421" i="1"/>
  <c r="S421" i="1" s="1"/>
  <c r="G421" i="1"/>
  <c r="J421" i="1" s="1"/>
  <c r="M421" i="1" s="1"/>
  <c r="F126" i="1"/>
  <c r="S126" i="1" s="1"/>
  <c r="G126" i="1"/>
  <c r="J126" i="1" s="1"/>
  <c r="M126" i="1" s="1"/>
  <c r="G351" i="1"/>
  <c r="J351" i="1" s="1"/>
  <c r="M351" i="1" s="1"/>
  <c r="F351" i="1"/>
  <c r="S351" i="1" s="1"/>
  <c r="F262" i="1"/>
  <c r="S262" i="1" s="1"/>
  <c r="G262" i="1"/>
  <c r="J262" i="1" s="1"/>
  <c r="M262" i="1" s="1"/>
  <c r="F222" i="1"/>
  <c r="S222" i="1" s="1"/>
  <c r="G222" i="1"/>
  <c r="J222" i="1" s="1"/>
  <c r="M222" i="1" s="1"/>
  <c r="X214" i="5"/>
  <c r="Y214" i="5" s="1"/>
  <c r="X221" i="5"/>
  <c r="Y221" i="5" s="1"/>
  <c r="O220" i="5"/>
  <c r="U220" i="5" s="1"/>
  <c r="X220" i="5" s="1"/>
  <c r="Y220" i="5" s="1"/>
  <c r="G428" i="1"/>
  <c r="J428" i="1" s="1"/>
  <c r="M428" i="1" s="1"/>
  <c r="F428" i="1"/>
  <c r="S428" i="1" s="1"/>
  <c r="T137" i="5"/>
  <c r="W137" i="5" s="1"/>
  <c r="X137" i="5"/>
  <c r="Y137" i="5" s="1"/>
  <c r="F280" i="1"/>
  <c r="S280" i="1" s="1"/>
  <c r="G280" i="1"/>
  <c r="J280" i="1" s="1"/>
  <c r="M280" i="1" s="1"/>
  <c r="G405" i="1"/>
  <c r="J405" i="1" s="1"/>
  <c r="M405" i="1" s="1"/>
  <c r="F405" i="1"/>
  <c r="S405" i="1" s="1"/>
  <c r="T184" i="5"/>
  <c r="W184" i="5" s="1"/>
  <c r="F364" i="1"/>
  <c r="S364" i="1" s="1"/>
  <c r="G364" i="1"/>
  <c r="J364" i="1" s="1"/>
  <c r="M364" i="1" s="1"/>
  <c r="G167" i="1"/>
  <c r="J167" i="1" s="1"/>
  <c r="M167" i="1" s="1"/>
  <c r="F167" i="1"/>
  <c r="S167" i="1" s="1"/>
  <c r="F323" i="1"/>
  <c r="S323" i="1" s="1"/>
  <c r="G323" i="1"/>
  <c r="J323" i="1" s="1"/>
  <c r="M323" i="1" s="1"/>
  <c r="T109" i="5"/>
  <c r="W109" i="5" s="1"/>
  <c r="X109" i="5"/>
  <c r="Y109" i="5" s="1"/>
  <c r="F319" i="1"/>
  <c r="S319" i="1" s="1"/>
  <c r="G319" i="1"/>
  <c r="J319" i="1" s="1"/>
  <c r="M319" i="1" s="1"/>
  <c r="F279" i="1"/>
  <c r="S279" i="1" s="1"/>
  <c r="G279" i="1"/>
  <c r="J279" i="1" s="1"/>
  <c r="M279" i="1" s="1"/>
  <c r="G371" i="1"/>
  <c r="J371" i="1" s="1"/>
  <c r="F371" i="1"/>
  <c r="S371" i="1" s="1"/>
  <c r="F313" i="1"/>
  <c r="S313" i="1" s="1"/>
  <c r="G313" i="1"/>
  <c r="J313" i="1" s="1"/>
  <c r="M313" i="1" s="1"/>
  <c r="G318" i="1"/>
  <c r="J318" i="1" s="1"/>
  <c r="M318" i="1" s="1"/>
  <c r="F318" i="1"/>
  <c r="S318" i="1" s="1"/>
  <c r="F432" i="1"/>
  <c r="S432" i="1" s="1"/>
  <c r="G432" i="1"/>
  <c r="J432" i="1" s="1"/>
  <c r="M432" i="1" s="1"/>
  <c r="J59" i="1"/>
  <c r="M59" i="1" s="1"/>
  <c r="S59" i="1"/>
  <c r="J64" i="1"/>
  <c r="M64" i="1" s="1"/>
  <c r="S64" i="1"/>
  <c r="F172" i="1"/>
  <c r="S172" i="1" s="1"/>
  <c r="G172" i="1"/>
  <c r="J172" i="1" s="1"/>
  <c r="M172" i="1" s="1"/>
  <c r="O194" i="5"/>
  <c r="T181" i="5"/>
  <c r="W181" i="5" s="1"/>
  <c r="R252" i="5"/>
  <c r="U252" i="5" s="1"/>
  <c r="F127" i="1"/>
  <c r="S127" i="1" s="1"/>
  <c r="G127" i="1"/>
  <c r="J127" i="1" s="1"/>
  <c r="M127" i="1" s="1"/>
  <c r="F433" i="1"/>
  <c r="S433" i="1" s="1"/>
  <c r="G433" i="1"/>
  <c r="J433" i="1" s="1"/>
  <c r="M433" i="1" s="1"/>
  <c r="F373" i="1"/>
  <c r="S373" i="1" s="1"/>
  <c r="G373" i="1"/>
  <c r="J373" i="1" s="1"/>
  <c r="M373" i="1" s="1"/>
  <c r="F229" i="1"/>
  <c r="S229" i="1" s="1"/>
  <c r="G229" i="1"/>
  <c r="J229" i="1" s="1"/>
  <c r="M229" i="1" s="1"/>
  <c r="F277" i="1"/>
  <c r="S277" i="1" s="1"/>
  <c r="G277" i="1"/>
  <c r="J277" i="1" s="1"/>
  <c r="O187" i="5"/>
  <c r="T168" i="5"/>
  <c r="W168" i="5" s="1"/>
  <c r="G359" i="1"/>
  <c r="J359" i="1" s="1"/>
  <c r="M359" i="1" s="1"/>
  <c r="F359" i="1"/>
  <c r="S359" i="1" s="1"/>
  <c r="X130" i="5"/>
  <c r="Y130" i="5" s="1"/>
  <c r="Q179" i="5"/>
  <c r="U179" i="5" s="1"/>
  <c r="T216" i="5"/>
  <c r="W216" i="5" s="1"/>
  <c r="X224" i="5"/>
  <c r="Y224" i="5" s="1"/>
  <c r="W224" i="5"/>
  <c r="O240" i="5"/>
  <c r="F422" i="1"/>
  <c r="S422" i="1" s="1"/>
  <c r="G422" i="1"/>
  <c r="J422" i="1" s="1"/>
  <c r="M422" i="1" s="1"/>
  <c r="X250" i="5"/>
  <c r="Y250" i="5" s="1"/>
  <c r="F224" i="1"/>
  <c r="S224" i="1" s="1"/>
  <c r="G224" i="1"/>
  <c r="J224" i="1" s="1"/>
  <c r="M224" i="1" s="1"/>
  <c r="O122" i="5"/>
  <c r="J76" i="1"/>
  <c r="M76" i="1" s="1"/>
  <c r="S76" i="1"/>
  <c r="G354" i="1"/>
  <c r="J354" i="1" s="1"/>
  <c r="M354" i="1" s="1"/>
  <c r="F354" i="1"/>
  <c r="S354" i="1" s="1"/>
  <c r="F212" i="1"/>
  <c r="S212" i="1" s="1"/>
  <c r="G212" i="1"/>
  <c r="J212" i="1" s="1"/>
  <c r="F226" i="1"/>
  <c r="S226" i="1" s="1"/>
  <c r="G226" i="1"/>
  <c r="J226" i="1" s="1"/>
  <c r="M226" i="1" s="1"/>
  <c r="F128" i="1"/>
  <c r="S128" i="1" s="1"/>
  <c r="G128" i="1"/>
  <c r="J128" i="1" s="1"/>
  <c r="M128" i="1" s="1"/>
  <c r="G372" i="1"/>
  <c r="J372" i="1" s="1"/>
  <c r="M372" i="1" s="1"/>
  <c r="F372" i="1"/>
  <c r="S372" i="1" s="1"/>
  <c r="G263" i="1"/>
  <c r="J263" i="1" s="1"/>
  <c r="F263" i="1"/>
  <c r="S263" i="1" s="1"/>
  <c r="G418" i="1"/>
  <c r="J418" i="1" s="1"/>
  <c r="M418" i="1" s="1"/>
  <c r="F418" i="1"/>
  <c r="S418" i="1" s="1"/>
  <c r="F171" i="1"/>
  <c r="S171" i="1" s="1"/>
  <c r="G171" i="1"/>
  <c r="J171" i="1" s="1"/>
  <c r="M171" i="1" s="1"/>
  <c r="F215" i="1"/>
  <c r="S215" i="1" s="1"/>
  <c r="G215" i="1"/>
  <c r="J215" i="1" s="1"/>
  <c r="M215" i="1" s="1"/>
  <c r="X75" i="5"/>
  <c r="Y75" i="5" s="1"/>
  <c r="X80" i="5"/>
  <c r="Y80" i="5" s="1"/>
  <c r="X71" i="5"/>
  <c r="Y71" i="5" s="1"/>
  <c r="T75" i="5"/>
  <c r="W75" i="5" s="1"/>
  <c r="T81" i="5"/>
  <c r="W81" i="5" s="1"/>
  <c r="T52" i="5"/>
  <c r="W52" i="5" s="1"/>
  <c r="T73" i="5"/>
  <c r="W73" i="5" s="1"/>
  <c r="T50" i="5"/>
  <c r="W50" i="5" s="1"/>
  <c r="T80" i="5"/>
  <c r="W80" i="5" s="1"/>
  <c r="W37" i="5"/>
  <c r="T72" i="5"/>
  <c r="W72" i="5" s="1"/>
  <c r="T82" i="5"/>
  <c r="W82" i="5" s="1"/>
  <c r="X73" i="5"/>
  <c r="Y73" i="5" s="1"/>
  <c r="X72" i="5"/>
  <c r="Y72" i="5" s="1"/>
  <c r="T68" i="5"/>
  <c r="W68" i="5" s="1"/>
  <c r="X68" i="5"/>
  <c r="Y68" i="5" s="1"/>
  <c r="T69" i="5"/>
  <c r="W69" i="5" s="1"/>
  <c r="T70" i="5"/>
  <c r="W70" i="5" s="1"/>
  <c r="T71" i="5"/>
  <c r="W71" i="5" s="1"/>
  <c r="T76" i="5"/>
  <c r="W76" i="5" s="1"/>
  <c r="T54" i="5"/>
  <c r="W54" i="5" s="1"/>
  <c r="T79" i="5"/>
  <c r="W79" i="5" s="1"/>
  <c r="X79" i="5"/>
  <c r="Y79" i="5" s="1"/>
  <c r="T77" i="5"/>
  <c r="W77" i="5" s="1"/>
  <c r="T74" i="5"/>
  <c r="W74" i="5" s="1"/>
  <c r="T83" i="5"/>
  <c r="W83" i="5" s="1"/>
  <c r="X78" i="5"/>
  <c r="Y78" i="5" s="1"/>
  <c r="T78" i="5"/>
  <c r="W78" i="5" s="1"/>
  <c r="T66" i="5"/>
  <c r="W66" i="5" s="1"/>
  <c r="T67" i="5"/>
  <c r="W67" i="5" s="1"/>
  <c r="X45" i="5"/>
  <c r="Y45" i="5" s="1"/>
  <c r="X82" i="5"/>
  <c r="Y82" i="5" s="1"/>
  <c r="T84" i="5"/>
  <c r="W84" i="5" s="1"/>
  <c r="X69" i="5"/>
  <c r="Y69" i="5" s="1"/>
  <c r="T44" i="5"/>
  <c r="W44" i="5" s="1"/>
  <c r="X44" i="5"/>
  <c r="Y44" i="5" s="1"/>
  <c r="T55" i="5"/>
  <c r="W55" i="5" s="1"/>
  <c r="X54" i="5"/>
  <c r="Y54" i="5" s="1"/>
  <c r="T48" i="5"/>
  <c r="W48" i="5" s="1"/>
  <c r="X48" i="5"/>
  <c r="Y48" i="5" s="1"/>
  <c r="T51" i="5"/>
  <c r="W51" i="5" s="1"/>
  <c r="X51" i="5"/>
  <c r="Y51" i="5" s="1"/>
  <c r="T42" i="5"/>
  <c r="W42" i="5" s="1"/>
  <c r="X42" i="5"/>
  <c r="Y42" i="5" s="1"/>
  <c r="X50" i="5"/>
  <c r="Y50" i="5" s="1"/>
  <c r="T40" i="5"/>
  <c r="W40" i="5" s="1"/>
  <c r="X40" i="5"/>
  <c r="Y40" i="5" s="1"/>
  <c r="T46" i="5"/>
  <c r="W46" i="5" s="1"/>
  <c r="X55" i="5"/>
  <c r="Y55" i="5" s="1"/>
  <c r="T45" i="5"/>
  <c r="W45" i="5" s="1"/>
  <c r="T39" i="5"/>
  <c r="W39" i="5" s="1"/>
  <c r="X39" i="5"/>
  <c r="Y39" i="5" s="1"/>
  <c r="T41" i="5"/>
  <c r="W41" i="5" s="1"/>
  <c r="X41" i="5"/>
  <c r="Y41" i="5" s="1"/>
  <c r="T47" i="5"/>
  <c r="W47" i="5" s="1"/>
  <c r="X52" i="5"/>
  <c r="Y52" i="5" s="1"/>
  <c r="T49" i="5"/>
  <c r="W49" i="5" s="1"/>
  <c r="X49" i="5"/>
  <c r="Y49" i="5" s="1"/>
  <c r="T53" i="5"/>
  <c r="W53" i="5" s="1"/>
  <c r="T43" i="5"/>
  <c r="W43" i="5" s="1"/>
  <c r="X43" i="5"/>
  <c r="Y43" i="5" s="1"/>
  <c r="X47" i="5"/>
  <c r="Y47" i="5" s="1"/>
  <c r="X37" i="5"/>
  <c r="Y37" i="5" s="1"/>
  <c r="B13" i="4"/>
  <c r="B24" i="4"/>
  <c r="B34" i="4"/>
  <c r="B44" i="4"/>
  <c r="C189" i="1"/>
  <c r="C301" i="1"/>
  <c r="P301" i="1" s="1"/>
  <c r="C93" i="1"/>
  <c r="C99" i="1"/>
  <c r="P99" i="1" s="1"/>
  <c r="C144" i="1"/>
  <c r="C241" i="1"/>
  <c r="P241" i="1" s="1"/>
  <c r="C197" i="1"/>
  <c r="C149" i="1"/>
  <c r="C250" i="1"/>
  <c r="P250" i="1" s="1"/>
  <c r="C192" i="1"/>
  <c r="C91" i="1"/>
  <c r="D91" i="1" s="1"/>
  <c r="C104" i="1"/>
  <c r="C143" i="1"/>
  <c r="D143" i="1" s="1"/>
  <c r="C148" i="1"/>
  <c r="C152" i="1"/>
  <c r="C196" i="1"/>
  <c r="C203" i="1"/>
  <c r="C245" i="1"/>
  <c r="P245" i="1" s="1"/>
  <c r="C249" i="1"/>
  <c r="C254" i="1"/>
  <c r="P254" i="1" s="1"/>
  <c r="C307" i="1"/>
  <c r="P307" i="1" s="1"/>
  <c r="D22" i="1"/>
  <c r="I65" i="1" s="1"/>
  <c r="C92" i="1"/>
  <c r="C101" i="1"/>
  <c r="P101" i="1" s="1"/>
  <c r="C138" i="1"/>
  <c r="C145" i="1"/>
  <c r="C153" i="1"/>
  <c r="C155" i="1"/>
  <c r="D155" i="1" s="1"/>
  <c r="C190" i="1"/>
  <c r="P190" i="1" s="1"/>
  <c r="C193" i="1"/>
  <c r="C198" i="1"/>
  <c r="C242" i="1"/>
  <c r="P242" i="1" s="1"/>
  <c r="C246" i="1"/>
  <c r="X250" i="1" s="1"/>
  <c r="C251" i="1"/>
  <c r="D251" i="1" s="1"/>
  <c r="C255" i="1"/>
  <c r="D255" i="1" s="1"/>
  <c r="C293" i="1"/>
  <c r="C297" i="1"/>
  <c r="P297" i="1" s="1"/>
  <c r="C304" i="1"/>
  <c r="P39" i="1"/>
  <c r="C94" i="1"/>
  <c r="D94" i="1" s="1"/>
  <c r="C100" i="1"/>
  <c r="D100" i="1" s="1"/>
  <c r="C142" i="1"/>
  <c r="P142" i="1" s="1"/>
  <c r="C150" i="1"/>
  <c r="C156" i="1"/>
  <c r="C194" i="1"/>
  <c r="C200" i="1"/>
  <c r="C204" i="1"/>
  <c r="C302" i="1"/>
  <c r="C146" i="1"/>
  <c r="C191" i="1"/>
  <c r="C201" i="1"/>
  <c r="C243" i="1"/>
  <c r="D243" i="1" s="1"/>
  <c r="C247" i="1"/>
  <c r="C252" i="1"/>
  <c r="C256" i="1"/>
  <c r="C290" i="1"/>
  <c r="C294" i="1"/>
  <c r="C298" i="1"/>
  <c r="D298" i="1" s="1"/>
  <c r="C303" i="1"/>
  <c r="D303" i="1" s="1"/>
  <c r="C87" i="1"/>
  <c r="C95" i="1"/>
  <c r="C102" i="1"/>
  <c r="E102" i="1" s="1"/>
  <c r="C139" i="1"/>
  <c r="C188" i="1"/>
  <c r="C202" i="1"/>
  <c r="C205" i="1"/>
  <c r="C239" i="1"/>
  <c r="D239" i="1" s="1"/>
  <c r="C291" i="1"/>
  <c r="C295" i="1"/>
  <c r="C299" i="1"/>
  <c r="C305" i="1"/>
  <c r="P305" i="1" s="1"/>
  <c r="C89" i="1"/>
  <c r="C97" i="1"/>
  <c r="C103" i="1"/>
  <c r="C140" i="1"/>
  <c r="C154" i="1"/>
  <c r="D154" i="1" s="1"/>
  <c r="C195" i="1"/>
  <c r="C199" i="1"/>
  <c r="C206" i="1"/>
  <c r="C244" i="1"/>
  <c r="C248" i="1"/>
  <c r="X256" i="1" s="1"/>
  <c r="C253" i="1"/>
  <c r="C257" i="1"/>
  <c r="C88" i="1"/>
  <c r="C90" i="1"/>
  <c r="C96" i="1"/>
  <c r="C98" i="1"/>
  <c r="D98" i="1" s="1"/>
  <c r="C105" i="1"/>
  <c r="C141" i="1"/>
  <c r="C147" i="1"/>
  <c r="D147" i="1" s="1"/>
  <c r="C151" i="1"/>
  <c r="D151" i="1" s="1"/>
  <c r="C240" i="1"/>
  <c r="C292" i="1"/>
  <c r="D292" i="1" s="1"/>
  <c r="C296" i="1"/>
  <c r="D296" i="1" s="1"/>
  <c r="C300" i="1"/>
  <c r="C306" i="1"/>
  <c r="C308" i="1"/>
  <c r="P152" i="1"/>
  <c r="C54" i="1"/>
  <c r="D54" i="1" s="1"/>
  <c r="C46" i="1"/>
  <c r="C52" i="1"/>
  <c r="C53" i="1"/>
  <c r="C36" i="1"/>
  <c r="C43" i="1"/>
  <c r="C44" i="1"/>
  <c r="C51" i="1"/>
  <c r="C50" i="1"/>
  <c r="C42" i="1"/>
  <c r="C49" i="1"/>
  <c r="D49" i="1" s="1"/>
  <c r="C45" i="1"/>
  <c r="C48" i="1"/>
  <c r="D41" i="1"/>
  <c r="C47" i="1"/>
  <c r="D21" i="1"/>
  <c r="H71" i="1" s="1"/>
  <c r="H74" i="1" l="1"/>
  <c r="H65" i="1"/>
  <c r="I71" i="1"/>
  <c r="H66" i="1"/>
  <c r="I417" i="1"/>
  <c r="L417" i="1" s="1"/>
  <c r="I60" i="1"/>
  <c r="I73" i="1"/>
  <c r="I69" i="1"/>
  <c r="I64" i="1"/>
  <c r="I59" i="1"/>
  <c r="L59" i="1" s="1"/>
  <c r="O59" i="1" s="1"/>
  <c r="I68" i="1"/>
  <c r="L68" i="1" s="1"/>
  <c r="O68" i="1" s="1"/>
  <c r="I72" i="1"/>
  <c r="L72" i="1" s="1"/>
  <c r="O72" i="1" s="1"/>
  <c r="I75" i="1"/>
  <c r="I76" i="1"/>
  <c r="I371" i="1"/>
  <c r="L371" i="1" s="1"/>
  <c r="O371" i="1" s="1"/>
  <c r="AD25" i="5"/>
  <c r="I74" i="1"/>
  <c r="D23" i="1"/>
  <c r="H72" i="1"/>
  <c r="H76" i="1"/>
  <c r="H69" i="1"/>
  <c r="H60" i="1"/>
  <c r="K60" i="1" s="1"/>
  <c r="N60" i="1" s="1"/>
  <c r="H64" i="1"/>
  <c r="K64" i="1" s="1"/>
  <c r="N64" i="1" s="1"/>
  <c r="H73" i="1"/>
  <c r="K73" i="1" s="1"/>
  <c r="N73" i="1" s="1"/>
  <c r="H75" i="1"/>
  <c r="H59" i="1"/>
  <c r="H68" i="1"/>
  <c r="W164" i="5"/>
  <c r="AC28" i="5"/>
  <c r="AD29" i="5" s="1"/>
  <c r="I77" i="1"/>
  <c r="H77" i="1"/>
  <c r="T179" i="5"/>
  <c r="W179" i="5" s="1"/>
  <c r="H62" i="1"/>
  <c r="H70" i="1"/>
  <c r="K70" i="1" s="1"/>
  <c r="N70" i="1" s="1"/>
  <c r="W161" i="5"/>
  <c r="AC26" i="5"/>
  <c r="W165" i="5"/>
  <c r="AC30" i="5"/>
  <c r="I61" i="1"/>
  <c r="I62" i="1"/>
  <c r="D247" i="1"/>
  <c r="X254" i="1"/>
  <c r="X252" i="1"/>
  <c r="P246" i="1"/>
  <c r="I264" i="1"/>
  <c r="L264" i="1" s="1"/>
  <c r="O264" i="1" s="1"/>
  <c r="H61" i="1"/>
  <c r="K61" i="1" s="1"/>
  <c r="N61" i="1" s="1"/>
  <c r="I67" i="1"/>
  <c r="L67" i="1" s="1"/>
  <c r="I63" i="1"/>
  <c r="L63" i="1" s="1"/>
  <c r="O63" i="1" s="1"/>
  <c r="I70" i="1"/>
  <c r="H63" i="1"/>
  <c r="U215" i="5"/>
  <c r="T122" i="5"/>
  <c r="W122" i="5" s="1"/>
  <c r="U122" i="5"/>
  <c r="T240" i="5"/>
  <c r="W240" i="5" s="1"/>
  <c r="U240" i="5"/>
  <c r="U194" i="5"/>
  <c r="X194" i="5" s="1"/>
  <c r="Y194" i="5" s="1"/>
  <c r="I421" i="1"/>
  <c r="L421" i="1" s="1"/>
  <c r="I163" i="1"/>
  <c r="L163" i="1" s="1"/>
  <c r="O163" i="1" s="1"/>
  <c r="U139" i="5"/>
  <c r="X139" i="5" s="1"/>
  <c r="Y139" i="5" s="1"/>
  <c r="T194" i="5"/>
  <c r="W194" i="5" s="1"/>
  <c r="I262" i="1"/>
  <c r="L262" i="1" s="1"/>
  <c r="O262" i="1" s="1"/>
  <c r="T185" i="5"/>
  <c r="W185" i="5" s="1"/>
  <c r="U185" i="5"/>
  <c r="X185" i="5" s="1"/>
  <c r="Y185" i="5" s="1"/>
  <c r="I328" i="1"/>
  <c r="L328" i="1" s="1"/>
  <c r="O328" i="1" s="1"/>
  <c r="U213" i="5"/>
  <c r="X213" i="5" s="1"/>
  <c r="Y213" i="5" s="1"/>
  <c r="I112" i="1"/>
  <c r="L112" i="1" s="1"/>
  <c r="O112" i="1" s="1"/>
  <c r="U187" i="5"/>
  <c r="X187" i="5" s="1"/>
  <c r="Y187" i="5" s="1"/>
  <c r="T166" i="5"/>
  <c r="W166" i="5" s="1"/>
  <c r="U166" i="5"/>
  <c r="X166" i="5" s="1"/>
  <c r="Y166" i="5" s="1"/>
  <c r="U111" i="5"/>
  <c r="X111" i="5" s="1"/>
  <c r="Y111" i="5" s="1"/>
  <c r="T218" i="5"/>
  <c r="W218" i="5" s="1"/>
  <c r="U218" i="5"/>
  <c r="X218" i="5" s="1"/>
  <c r="Y218" i="5" s="1"/>
  <c r="I322" i="1"/>
  <c r="L322" i="1" s="1"/>
  <c r="O322" i="1" s="1"/>
  <c r="T195" i="5"/>
  <c r="W195" i="5" s="1"/>
  <c r="T234" i="5"/>
  <c r="W234" i="5" s="1"/>
  <c r="U234" i="5"/>
  <c r="X234" i="5" s="1"/>
  <c r="Y234" i="5" s="1"/>
  <c r="I372" i="1"/>
  <c r="L372" i="1" s="1"/>
  <c r="O372" i="1" s="1"/>
  <c r="X179" i="5"/>
  <c r="Y179" i="5" s="1"/>
  <c r="I172" i="1"/>
  <c r="L172" i="1" s="1"/>
  <c r="O172" i="1" s="1"/>
  <c r="U133" i="5"/>
  <c r="X133" i="5" s="1"/>
  <c r="Y133" i="5" s="1"/>
  <c r="U222" i="5"/>
  <c r="X222" i="5" s="1"/>
  <c r="Y222" i="5" s="1"/>
  <c r="T111" i="5"/>
  <c r="W111" i="5" s="1"/>
  <c r="U208" i="5"/>
  <c r="X208" i="5" s="1"/>
  <c r="Y208" i="5" s="1"/>
  <c r="U242" i="5"/>
  <c r="X242" i="5" s="1"/>
  <c r="Y242" i="5" s="1"/>
  <c r="U153" i="5"/>
  <c r="X153" i="5" s="1"/>
  <c r="Y153" i="5" s="1"/>
  <c r="U238" i="5"/>
  <c r="X238" i="5" s="1"/>
  <c r="Y238" i="5" s="1"/>
  <c r="T210" i="5"/>
  <c r="W210" i="5" s="1"/>
  <c r="U210" i="5"/>
  <c r="X210" i="5" s="1"/>
  <c r="Y210" i="5" s="1"/>
  <c r="U211" i="5"/>
  <c r="X211" i="5" s="1"/>
  <c r="Y211" i="5" s="1"/>
  <c r="U128" i="5"/>
  <c r="X128" i="5" s="1"/>
  <c r="Y128" i="5" s="1"/>
  <c r="I404" i="1"/>
  <c r="L404" i="1" s="1"/>
  <c r="O404" i="1" s="1"/>
  <c r="T133" i="5"/>
  <c r="W133" i="5" s="1"/>
  <c r="T126" i="5"/>
  <c r="W126" i="5" s="1"/>
  <c r="U126" i="5"/>
  <c r="X126" i="5" s="1"/>
  <c r="Y126" i="5" s="1"/>
  <c r="U207" i="5"/>
  <c r="X207" i="5" s="1"/>
  <c r="Y207" i="5" s="1"/>
  <c r="X127" i="5"/>
  <c r="Y127" i="5" s="1"/>
  <c r="U241" i="5"/>
  <c r="X241" i="5" s="1"/>
  <c r="Y241" i="5" s="1"/>
  <c r="I376" i="1"/>
  <c r="L376" i="1" s="1"/>
  <c r="O376" i="1" s="1"/>
  <c r="U107" i="5"/>
  <c r="X107" i="5" s="1"/>
  <c r="Y107" i="5" s="1"/>
  <c r="X110" i="5"/>
  <c r="Y110" i="5" s="1"/>
  <c r="X252" i="5"/>
  <c r="Y252" i="5" s="1"/>
  <c r="U131" i="5"/>
  <c r="X131" i="5" s="1"/>
  <c r="Y131" i="5" s="1"/>
  <c r="I395" i="1"/>
  <c r="L395" i="1" s="1"/>
  <c r="O395" i="1" s="1"/>
  <c r="U244" i="5"/>
  <c r="X244" i="5" s="1"/>
  <c r="Y244" i="5" s="1"/>
  <c r="U162" i="5"/>
  <c r="X162" i="5" s="1"/>
  <c r="Y162" i="5" s="1"/>
  <c r="I119" i="1"/>
  <c r="L119" i="1" s="1"/>
  <c r="O119" i="1" s="1"/>
  <c r="U135" i="5"/>
  <c r="X135" i="5" s="1"/>
  <c r="Y135" i="5" s="1"/>
  <c r="T222" i="5"/>
  <c r="W222" i="5" s="1"/>
  <c r="P143" i="1"/>
  <c r="I171" i="1"/>
  <c r="L171" i="1" s="1"/>
  <c r="O171" i="1" s="1"/>
  <c r="I177" i="1"/>
  <c r="L177" i="1" s="1"/>
  <c r="O177" i="1" s="1"/>
  <c r="T236" i="5"/>
  <c r="W236" i="5" s="1"/>
  <c r="T131" i="5"/>
  <c r="W131" i="5" s="1"/>
  <c r="L66" i="1"/>
  <c r="O66" i="1" s="1"/>
  <c r="I358" i="1"/>
  <c r="L358" i="1" s="1"/>
  <c r="O358" i="1" s="1"/>
  <c r="T244" i="5"/>
  <c r="W244" i="5" s="1"/>
  <c r="I427" i="1"/>
  <c r="L427" i="1" s="1"/>
  <c r="O427" i="1" s="1"/>
  <c r="I169" i="1"/>
  <c r="L169" i="1" s="1"/>
  <c r="O169" i="1" s="1"/>
  <c r="T220" i="5"/>
  <c r="W220" i="5" s="1"/>
  <c r="I409" i="1"/>
  <c r="L409" i="1" s="1"/>
  <c r="O409" i="1" s="1"/>
  <c r="I375" i="1"/>
  <c r="L375" i="1" s="1"/>
  <c r="O375" i="1" s="1"/>
  <c r="I324" i="1"/>
  <c r="L324" i="1" s="1"/>
  <c r="O324" i="1" s="1"/>
  <c r="I346" i="1"/>
  <c r="L346" i="1" s="1"/>
  <c r="O346" i="1" s="1"/>
  <c r="I273" i="1"/>
  <c r="L273" i="1" s="1"/>
  <c r="O273" i="1" s="1"/>
  <c r="T107" i="5"/>
  <c r="W107" i="5" s="1"/>
  <c r="I327" i="1"/>
  <c r="L327" i="1" s="1"/>
  <c r="O327" i="1" s="1"/>
  <c r="T127" i="5"/>
  <c r="W127" i="5" s="1"/>
  <c r="I279" i="1"/>
  <c r="L279" i="1" s="1"/>
  <c r="O279" i="1" s="1"/>
  <c r="I351" i="1"/>
  <c r="L351" i="1" s="1"/>
  <c r="O351" i="1" s="1"/>
  <c r="I366" i="1"/>
  <c r="L366" i="1" s="1"/>
  <c r="O366" i="1" s="1"/>
  <c r="I330" i="1"/>
  <c r="L330" i="1" s="1"/>
  <c r="O330" i="1" s="1"/>
  <c r="I400" i="1"/>
  <c r="L400" i="1" s="1"/>
  <c r="O400" i="1" s="1"/>
  <c r="I267" i="1"/>
  <c r="L267" i="1" s="1"/>
  <c r="O267" i="1" s="1"/>
  <c r="I418" i="1"/>
  <c r="L418" i="1" s="1"/>
  <c r="O418" i="1" s="1"/>
  <c r="I331" i="1"/>
  <c r="L331" i="1" s="1"/>
  <c r="O331" i="1" s="1"/>
  <c r="I430" i="1"/>
  <c r="L430" i="1" s="1"/>
  <c r="O430" i="1" s="1"/>
  <c r="I370" i="1"/>
  <c r="L370" i="1" s="1"/>
  <c r="O370" i="1" s="1"/>
  <c r="I122" i="1"/>
  <c r="L122" i="1" s="1"/>
  <c r="O122" i="1" s="1"/>
  <c r="X122" i="5"/>
  <c r="Y122" i="5" s="1"/>
  <c r="T242" i="5"/>
  <c r="W242" i="5" s="1"/>
  <c r="I354" i="1"/>
  <c r="L354" i="1" s="1"/>
  <c r="O354" i="1" s="1"/>
  <c r="I224" i="1"/>
  <c r="L224" i="1" s="1"/>
  <c r="O224" i="1" s="1"/>
  <c r="L64" i="1"/>
  <c r="O64" i="1" s="1"/>
  <c r="I319" i="1"/>
  <c r="L319" i="1" s="1"/>
  <c r="O319" i="1" s="1"/>
  <c r="I168" i="1"/>
  <c r="L168" i="1" s="1"/>
  <c r="O168" i="1" s="1"/>
  <c r="I175" i="1"/>
  <c r="L175" i="1" s="1"/>
  <c r="O175" i="1" s="1"/>
  <c r="I115" i="1"/>
  <c r="L115" i="1" s="1"/>
  <c r="O115" i="1" s="1"/>
  <c r="T213" i="5"/>
  <c r="W213" i="5" s="1"/>
  <c r="I218" i="1"/>
  <c r="L218" i="1" s="1"/>
  <c r="O218" i="1" s="1"/>
  <c r="I228" i="1"/>
  <c r="L228" i="1" s="1"/>
  <c r="O228" i="1" s="1"/>
  <c r="I128" i="1"/>
  <c r="L128" i="1" s="1"/>
  <c r="O128" i="1" s="1"/>
  <c r="I433" i="1"/>
  <c r="L433" i="1" s="1"/>
  <c r="O433" i="1" s="1"/>
  <c r="I323" i="1"/>
  <c r="L323" i="1" s="1"/>
  <c r="O323" i="1" s="1"/>
  <c r="I428" i="1"/>
  <c r="L428" i="1" s="1"/>
  <c r="O428" i="1" s="1"/>
  <c r="I123" i="1"/>
  <c r="L123" i="1" s="1"/>
  <c r="O123" i="1" s="1"/>
  <c r="I124" i="1"/>
  <c r="L124" i="1" s="1"/>
  <c r="O124" i="1" s="1"/>
  <c r="I162" i="1"/>
  <c r="L162" i="1" s="1"/>
  <c r="O162" i="1" s="1"/>
  <c r="I396" i="1"/>
  <c r="L396" i="1" s="1"/>
  <c r="O396" i="1" s="1"/>
  <c r="O417" i="1"/>
  <c r="H213" i="1"/>
  <c r="K213" i="1" s="1"/>
  <c r="N213" i="1" s="1"/>
  <c r="H278" i="1"/>
  <c r="K278" i="1" s="1"/>
  <c r="N278" i="1" s="1"/>
  <c r="H330" i="1"/>
  <c r="K330" i="1" s="1"/>
  <c r="N330" i="1" s="1"/>
  <c r="H174" i="1"/>
  <c r="K174" i="1" s="1"/>
  <c r="N174" i="1" s="1"/>
  <c r="H407" i="1"/>
  <c r="K407" i="1" s="1"/>
  <c r="N407" i="1" s="1"/>
  <c r="H423" i="1"/>
  <c r="K423" i="1" s="1"/>
  <c r="N423" i="1" s="1"/>
  <c r="H111" i="1"/>
  <c r="K111" i="1" s="1"/>
  <c r="N111" i="1" s="1"/>
  <c r="H426" i="1"/>
  <c r="K426" i="1" s="1"/>
  <c r="N426" i="1" s="1"/>
  <c r="H365" i="1"/>
  <c r="K365" i="1" s="1"/>
  <c r="N365" i="1" s="1"/>
  <c r="H325" i="1"/>
  <c r="K325" i="1" s="1"/>
  <c r="N325" i="1" s="1"/>
  <c r="H315" i="1"/>
  <c r="K315" i="1" s="1"/>
  <c r="N315" i="1" s="1"/>
  <c r="H381" i="1"/>
  <c r="K381" i="1" s="1"/>
  <c r="N381" i="1" s="1"/>
  <c r="H317" i="1"/>
  <c r="K317" i="1" s="1"/>
  <c r="N317" i="1" s="1"/>
  <c r="H165" i="1"/>
  <c r="K165" i="1" s="1"/>
  <c r="N165" i="1" s="1"/>
  <c r="H173" i="1"/>
  <c r="K173" i="1" s="1"/>
  <c r="N173" i="1" s="1"/>
  <c r="M347" i="1"/>
  <c r="H417" i="1"/>
  <c r="K417" i="1" s="1"/>
  <c r="N417" i="1" s="1"/>
  <c r="H399" i="1"/>
  <c r="K399" i="1" s="1"/>
  <c r="N399" i="1" s="1"/>
  <c r="E143" i="1"/>
  <c r="I215" i="1"/>
  <c r="L215" i="1" s="1"/>
  <c r="O215" i="1" s="1"/>
  <c r="H418" i="1"/>
  <c r="K418" i="1" s="1"/>
  <c r="N418" i="1" s="1"/>
  <c r="Q418" i="1" s="1"/>
  <c r="T418" i="1" s="1"/>
  <c r="H128" i="1"/>
  <c r="K128" i="1" s="1"/>
  <c r="N128" i="1" s="1"/>
  <c r="H212" i="1"/>
  <c r="K212" i="1" s="1"/>
  <c r="N212" i="1" s="1"/>
  <c r="X240" i="5"/>
  <c r="Y240" i="5" s="1"/>
  <c r="I277" i="1"/>
  <c r="L277" i="1" s="1"/>
  <c r="O277" i="1" s="1"/>
  <c r="I373" i="1"/>
  <c r="L373" i="1" s="1"/>
  <c r="O373" i="1" s="1"/>
  <c r="K59" i="1"/>
  <c r="N59" i="1" s="1"/>
  <c r="H371" i="1"/>
  <c r="K371" i="1" s="1"/>
  <c r="N371" i="1" s="1"/>
  <c r="H323" i="1"/>
  <c r="K323" i="1" s="1"/>
  <c r="N323" i="1" s="1"/>
  <c r="H405" i="1"/>
  <c r="K405" i="1" s="1"/>
  <c r="N405" i="1" s="1"/>
  <c r="I126" i="1"/>
  <c r="L126" i="1" s="1"/>
  <c r="O126" i="1" s="1"/>
  <c r="I349" i="1"/>
  <c r="L349" i="1" s="1"/>
  <c r="O349" i="1" s="1"/>
  <c r="H177" i="1"/>
  <c r="K177" i="1" s="1"/>
  <c r="I350" i="1"/>
  <c r="L350" i="1" s="1"/>
  <c r="O350" i="1" s="1"/>
  <c r="I314" i="1"/>
  <c r="L314" i="1" s="1"/>
  <c r="O314" i="1" s="1"/>
  <c r="T128" i="5"/>
  <c r="W128" i="5" s="1"/>
  <c r="H404" i="1"/>
  <c r="K404" i="1" s="1"/>
  <c r="N404" i="1" s="1"/>
  <c r="Q404" i="1" s="1"/>
  <c r="T404" i="1" s="1"/>
  <c r="I118" i="1"/>
  <c r="L118" i="1" s="1"/>
  <c r="O118" i="1" s="1"/>
  <c r="I221" i="1"/>
  <c r="L221" i="1" s="1"/>
  <c r="O221" i="1" s="1"/>
  <c r="H124" i="1"/>
  <c r="K124" i="1" s="1"/>
  <c r="N124" i="1" s="1"/>
  <c r="M395" i="1"/>
  <c r="I117" i="1"/>
  <c r="L117" i="1" s="1"/>
  <c r="O117" i="1" s="1"/>
  <c r="I110" i="1"/>
  <c r="L110" i="1" s="1"/>
  <c r="O110" i="1" s="1"/>
  <c r="I270" i="1"/>
  <c r="L270" i="1" s="1"/>
  <c r="O270" i="1" s="1"/>
  <c r="H394" i="1"/>
  <c r="K394" i="1" s="1"/>
  <c r="N394" i="1" s="1"/>
  <c r="H370" i="1"/>
  <c r="K370" i="1" s="1"/>
  <c r="N370" i="1" s="1"/>
  <c r="M344" i="1"/>
  <c r="X215" i="5"/>
  <c r="Y215" i="5" s="1"/>
  <c r="H368" i="1"/>
  <c r="K368" i="1" s="1"/>
  <c r="N368" i="1" s="1"/>
  <c r="M214" i="1"/>
  <c r="I382" i="1"/>
  <c r="L382" i="1" s="1"/>
  <c r="O382" i="1" s="1"/>
  <c r="H348" i="1"/>
  <c r="K348" i="1" s="1"/>
  <c r="N348" i="1" s="1"/>
  <c r="I174" i="1"/>
  <c r="L174" i="1" s="1"/>
  <c r="O174" i="1" s="1"/>
  <c r="H357" i="1"/>
  <c r="K357" i="1" s="1"/>
  <c r="N357" i="1" s="1"/>
  <c r="H321" i="1"/>
  <c r="K321" i="1" s="1"/>
  <c r="N321" i="1" s="1"/>
  <c r="I216" i="1"/>
  <c r="L216" i="1" s="1"/>
  <c r="O216" i="1" s="1"/>
  <c r="I164" i="1"/>
  <c r="L164" i="1" s="1"/>
  <c r="O164" i="1" s="1"/>
  <c r="H408" i="1"/>
  <c r="K408" i="1" s="1"/>
  <c r="N408" i="1" s="1"/>
  <c r="H401" i="1"/>
  <c r="K401" i="1" s="1"/>
  <c r="N401" i="1" s="1"/>
  <c r="K63" i="1"/>
  <c r="N63" i="1" s="1"/>
  <c r="I423" i="1"/>
  <c r="L423" i="1" s="1"/>
  <c r="O423" i="1" s="1"/>
  <c r="I426" i="1"/>
  <c r="L426" i="1" s="1"/>
  <c r="O426" i="1" s="1"/>
  <c r="H424" i="1"/>
  <c r="K424" i="1" s="1"/>
  <c r="N424" i="1" s="1"/>
  <c r="H416" i="1"/>
  <c r="K416" i="1" s="1"/>
  <c r="N416" i="1" s="1"/>
  <c r="H273" i="1"/>
  <c r="K273" i="1" s="1"/>
  <c r="N273" i="1" s="1"/>
  <c r="Q273" i="1" s="1"/>
  <c r="T273" i="1" s="1"/>
  <c r="I120" i="1"/>
  <c r="L120" i="1" s="1"/>
  <c r="O120" i="1" s="1"/>
  <c r="H427" i="1"/>
  <c r="K427" i="1" s="1"/>
  <c r="N427" i="1" s="1"/>
  <c r="H367" i="1"/>
  <c r="K367" i="1" s="1"/>
  <c r="N367" i="1" s="1"/>
  <c r="I345" i="1"/>
  <c r="L345" i="1" s="1"/>
  <c r="O345" i="1" s="1"/>
  <c r="L62" i="1"/>
  <c r="O62" i="1" s="1"/>
  <c r="H329" i="1"/>
  <c r="K329" i="1" s="1"/>
  <c r="N329" i="1" s="1"/>
  <c r="T241" i="5"/>
  <c r="W241" i="5" s="1"/>
  <c r="I165" i="1"/>
  <c r="L165" i="1" s="1"/>
  <c r="O165" i="1" s="1"/>
  <c r="I173" i="1"/>
  <c r="L173" i="1" s="1"/>
  <c r="O173" i="1" s="1"/>
  <c r="Q173" i="1" s="1"/>
  <c r="T173" i="1" s="1"/>
  <c r="I347" i="1"/>
  <c r="L347" i="1" s="1"/>
  <c r="O347" i="1" s="1"/>
  <c r="L65" i="1"/>
  <c r="O65" i="1" s="1"/>
  <c r="H127" i="1"/>
  <c r="K127" i="1" s="1"/>
  <c r="N127" i="1" s="1"/>
  <c r="H372" i="1"/>
  <c r="K372" i="1" s="1"/>
  <c r="N372" i="1" s="1"/>
  <c r="R372" i="1" s="1"/>
  <c r="U372" i="1" s="1"/>
  <c r="H172" i="1"/>
  <c r="K172" i="1" s="1"/>
  <c r="H318" i="1"/>
  <c r="K318" i="1" s="1"/>
  <c r="N318" i="1" s="1"/>
  <c r="H280" i="1"/>
  <c r="K280" i="1" s="1"/>
  <c r="N280" i="1" s="1"/>
  <c r="H428" i="1"/>
  <c r="K428" i="1" s="1"/>
  <c r="N428" i="1" s="1"/>
  <c r="H262" i="1"/>
  <c r="K262" i="1" s="1"/>
  <c r="N262" i="1" s="1"/>
  <c r="R262" i="1" s="1"/>
  <c r="U262" i="1" s="1"/>
  <c r="H168" i="1"/>
  <c r="K168" i="1" s="1"/>
  <c r="N168" i="1" s="1"/>
  <c r="Q168" i="1" s="1"/>
  <c r="T168" i="1" s="1"/>
  <c r="H264" i="1"/>
  <c r="K264" i="1" s="1"/>
  <c r="N264" i="1" s="1"/>
  <c r="R264" i="1" s="1"/>
  <c r="U264" i="1" s="1"/>
  <c r="E28" i="4" s="1"/>
  <c r="H409" i="1"/>
  <c r="K409" i="1" s="1"/>
  <c r="N409" i="1" s="1"/>
  <c r="T252" i="5"/>
  <c r="W252" i="5" s="1"/>
  <c r="H314" i="1"/>
  <c r="K314" i="1" s="1"/>
  <c r="N314" i="1" s="1"/>
  <c r="H115" i="1"/>
  <c r="K115" i="1" s="1"/>
  <c r="N115" i="1" s="1"/>
  <c r="R115" i="1" s="1"/>
  <c r="U115" i="1" s="1"/>
  <c r="H178" i="1"/>
  <c r="K178" i="1" s="1"/>
  <c r="N178" i="1" s="1"/>
  <c r="H430" i="1"/>
  <c r="K430" i="1" s="1"/>
  <c r="N430" i="1" s="1"/>
  <c r="R430" i="1" s="1"/>
  <c r="U430" i="1" s="1"/>
  <c r="I425" i="1"/>
  <c r="L425" i="1" s="1"/>
  <c r="I344" i="1"/>
  <c r="L344" i="1" s="1"/>
  <c r="O344" i="1" s="1"/>
  <c r="I352" i="1"/>
  <c r="L352" i="1" s="1"/>
  <c r="O352" i="1" s="1"/>
  <c r="I369" i="1"/>
  <c r="L369" i="1" s="1"/>
  <c r="O369" i="1" s="1"/>
  <c r="H216" i="1"/>
  <c r="K216" i="1" s="1"/>
  <c r="N216" i="1" s="1"/>
  <c r="I265" i="1"/>
  <c r="L265" i="1" s="1"/>
  <c r="O265" i="1" s="1"/>
  <c r="I116" i="1"/>
  <c r="L116" i="1" s="1"/>
  <c r="O116" i="1" s="1"/>
  <c r="I408" i="1"/>
  <c r="L408" i="1" s="1"/>
  <c r="O408" i="1" s="1"/>
  <c r="H163" i="1"/>
  <c r="K163" i="1" s="1"/>
  <c r="N163" i="1" s="1"/>
  <c r="M379" i="1"/>
  <c r="I269" i="1"/>
  <c r="L269" i="1" s="1"/>
  <c r="O269" i="1" s="1"/>
  <c r="I356" i="1"/>
  <c r="L356" i="1" s="1"/>
  <c r="O356" i="1" s="1"/>
  <c r="I325" i="1"/>
  <c r="L325" i="1" s="1"/>
  <c r="O325" i="1" s="1"/>
  <c r="H120" i="1"/>
  <c r="K120" i="1" s="1"/>
  <c r="N120" i="1" s="1"/>
  <c r="I381" i="1"/>
  <c r="L381" i="1" s="1"/>
  <c r="O381" i="1" s="1"/>
  <c r="I317" i="1"/>
  <c r="L317" i="1" s="1"/>
  <c r="O317" i="1" s="1"/>
  <c r="I367" i="1"/>
  <c r="L367" i="1" s="1"/>
  <c r="O367" i="1" s="1"/>
  <c r="K68" i="1"/>
  <c r="N68" i="1" s="1"/>
  <c r="I274" i="1"/>
  <c r="L274" i="1" s="1"/>
  <c r="O274" i="1" s="1"/>
  <c r="H345" i="1"/>
  <c r="K345" i="1" s="1"/>
  <c r="L69" i="1"/>
  <c r="O69" i="1" s="1"/>
  <c r="I113" i="1"/>
  <c r="L113" i="1" s="1"/>
  <c r="O113" i="1" s="1"/>
  <c r="I378" i="1"/>
  <c r="L378" i="1" s="1"/>
  <c r="O378" i="1" s="1"/>
  <c r="H211" i="1"/>
  <c r="K211" i="1" s="1"/>
  <c r="N211" i="1" s="1"/>
  <c r="H119" i="1"/>
  <c r="K119" i="1" s="1"/>
  <c r="N119" i="1" s="1"/>
  <c r="R119" i="1" s="1"/>
  <c r="U119" i="1" s="1"/>
  <c r="M378" i="1"/>
  <c r="H215" i="1"/>
  <c r="K215" i="1" s="1"/>
  <c r="N215" i="1" s="1"/>
  <c r="Q215" i="1" s="1"/>
  <c r="T215" i="1" s="1"/>
  <c r="D47" i="4" s="1"/>
  <c r="H415" i="1"/>
  <c r="K415" i="1" s="1"/>
  <c r="H110" i="1"/>
  <c r="K110" i="1" s="1"/>
  <c r="N110" i="1" s="1"/>
  <c r="H374" i="1"/>
  <c r="K374" i="1" s="1"/>
  <c r="N374" i="1" s="1"/>
  <c r="H313" i="1"/>
  <c r="K313" i="1" s="1"/>
  <c r="N313" i="1" s="1"/>
  <c r="M419" i="1"/>
  <c r="H375" i="1"/>
  <c r="K375" i="1" s="1"/>
  <c r="N375" i="1" s="1"/>
  <c r="Q375" i="1" s="1"/>
  <c r="T375" i="1" s="1"/>
  <c r="H350" i="1"/>
  <c r="K350" i="1" s="1"/>
  <c r="N350" i="1" s="1"/>
  <c r="H117" i="1"/>
  <c r="K117" i="1" s="1"/>
  <c r="N117" i="1" s="1"/>
  <c r="T110" i="5"/>
  <c r="W110" i="5" s="1"/>
  <c r="H121" i="1"/>
  <c r="K121" i="1" s="1"/>
  <c r="N121" i="1" s="1"/>
  <c r="H320" i="1"/>
  <c r="K320" i="1" s="1"/>
  <c r="N320" i="1" s="1"/>
  <c r="O421" i="1"/>
  <c r="H419" i="1"/>
  <c r="K419" i="1" s="1"/>
  <c r="N419" i="1" s="1"/>
  <c r="K74" i="1"/>
  <c r="N74" i="1" s="1"/>
  <c r="H175" i="1"/>
  <c r="K175" i="1" s="1"/>
  <c r="N175" i="1" s="1"/>
  <c r="H161" i="1"/>
  <c r="K161" i="1" s="1"/>
  <c r="N161" i="1" s="1"/>
  <c r="I170" i="1"/>
  <c r="L170" i="1" s="1"/>
  <c r="O170" i="1" s="1"/>
  <c r="H275" i="1"/>
  <c r="K275" i="1" s="1"/>
  <c r="N275" i="1" s="1"/>
  <c r="I355" i="1"/>
  <c r="L355" i="1" s="1"/>
  <c r="O355" i="1" s="1"/>
  <c r="H220" i="1"/>
  <c r="K220" i="1" s="1"/>
  <c r="N220" i="1" s="1"/>
  <c r="H425" i="1"/>
  <c r="K425" i="1" s="1"/>
  <c r="N425" i="1" s="1"/>
  <c r="I429" i="1"/>
  <c r="L429" i="1" s="1"/>
  <c r="M366" i="1"/>
  <c r="I342" i="1"/>
  <c r="L342" i="1" s="1"/>
  <c r="O342" i="1" s="1"/>
  <c r="H344" i="1"/>
  <c r="K344" i="1" s="1"/>
  <c r="N344" i="1" s="1"/>
  <c r="H322" i="1"/>
  <c r="K322" i="1" s="1"/>
  <c r="N322" i="1" s="1"/>
  <c r="R322" i="1" s="1"/>
  <c r="U322" i="1" s="1"/>
  <c r="H398" i="1"/>
  <c r="K398" i="1" s="1"/>
  <c r="N398" i="1" s="1"/>
  <c r="I214" i="1"/>
  <c r="L214" i="1" s="1"/>
  <c r="O214" i="1" s="1"/>
  <c r="I357" i="1"/>
  <c r="L357" i="1" s="1"/>
  <c r="O357" i="1" s="1"/>
  <c r="Q357" i="1" s="1"/>
  <c r="T357" i="1" s="1"/>
  <c r="I321" i="1"/>
  <c r="L321" i="1" s="1"/>
  <c r="O321" i="1" s="1"/>
  <c r="H410" i="1"/>
  <c r="K410" i="1" s="1"/>
  <c r="N410" i="1" s="1"/>
  <c r="H116" i="1"/>
  <c r="K116" i="1" s="1"/>
  <c r="N116" i="1" s="1"/>
  <c r="H377" i="1"/>
  <c r="K377" i="1" s="1"/>
  <c r="N377" i="1" s="1"/>
  <c r="I353" i="1"/>
  <c r="L353" i="1" s="1"/>
  <c r="O353" i="1" s="1"/>
  <c r="I121" i="1"/>
  <c r="L121" i="1" s="1"/>
  <c r="O121" i="1" s="1"/>
  <c r="I379" i="1"/>
  <c r="L379" i="1" s="1"/>
  <c r="O379" i="1" s="1"/>
  <c r="M269" i="1"/>
  <c r="I225" i="1"/>
  <c r="L225" i="1" s="1"/>
  <c r="O225" i="1" s="1"/>
  <c r="H356" i="1"/>
  <c r="K356" i="1" s="1"/>
  <c r="N356" i="1" s="1"/>
  <c r="T207" i="5"/>
  <c r="W207" i="5" s="1"/>
  <c r="H166" i="1"/>
  <c r="K166" i="1" s="1"/>
  <c r="N166" i="1" s="1"/>
  <c r="M396" i="1"/>
  <c r="M427" i="1"/>
  <c r="H169" i="1"/>
  <c r="K169" i="1" s="1"/>
  <c r="N169" i="1" s="1"/>
  <c r="R169" i="1" s="1"/>
  <c r="U169" i="1" s="1"/>
  <c r="K62" i="1"/>
  <c r="N62" i="1" s="1"/>
  <c r="K69" i="1"/>
  <c r="N69" i="1" s="1"/>
  <c r="H113" i="1"/>
  <c r="K113" i="1" s="1"/>
  <c r="N113" i="1" s="1"/>
  <c r="H316" i="1"/>
  <c r="K316" i="1" s="1"/>
  <c r="N316" i="1" s="1"/>
  <c r="H378" i="1"/>
  <c r="K378" i="1" s="1"/>
  <c r="N378" i="1" s="1"/>
  <c r="M371" i="1"/>
  <c r="H118" i="1"/>
  <c r="K118" i="1" s="1"/>
  <c r="N118" i="1" s="1"/>
  <c r="H343" i="1"/>
  <c r="K343" i="1" s="1"/>
  <c r="N343" i="1" s="1"/>
  <c r="H331" i="1"/>
  <c r="K331" i="1" s="1"/>
  <c r="N331" i="1" s="1"/>
  <c r="R331" i="1" s="1"/>
  <c r="U331" i="1" s="1"/>
  <c r="R404" i="1"/>
  <c r="U404" i="1" s="1"/>
  <c r="H395" i="1"/>
  <c r="K395" i="1" s="1"/>
  <c r="N395" i="1" s="1"/>
  <c r="H342" i="1"/>
  <c r="K342" i="1" s="1"/>
  <c r="N342" i="1" s="1"/>
  <c r="H214" i="1"/>
  <c r="K214" i="1" s="1"/>
  <c r="N214" i="1" s="1"/>
  <c r="H379" i="1"/>
  <c r="K379" i="1" s="1"/>
  <c r="N379" i="1" s="1"/>
  <c r="H225" i="1"/>
  <c r="K225" i="1" s="1"/>
  <c r="N225" i="1" s="1"/>
  <c r="T187" i="5"/>
  <c r="W187" i="5" s="1"/>
  <c r="H432" i="1"/>
  <c r="K432" i="1" s="1"/>
  <c r="N432" i="1" s="1"/>
  <c r="H171" i="1"/>
  <c r="K171" i="1" s="1"/>
  <c r="N171" i="1" s="1"/>
  <c r="R171" i="1" s="1"/>
  <c r="U171" i="1" s="1"/>
  <c r="I263" i="1"/>
  <c r="L263" i="1" s="1"/>
  <c r="O263" i="1" s="1"/>
  <c r="I226" i="1"/>
  <c r="L226" i="1" s="1"/>
  <c r="O226" i="1" s="1"/>
  <c r="H354" i="1"/>
  <c r="K354" i="1" s="1"/>
  <c r="N354" i="1" s="1"/>
  <c r="Q354" i="1" s="1"/>
  <c r="T354" i="1" s="1"/>
  <c r="H224" i="1"/>
  <c r="K224" i="1" s="1"/>
  <c r="N224" i="1" s="1"/>
  <c r="H422" i="1"/>
  <c r="K422" i="1" s="1"/>
  <c r="N422" i="1" s="1"/>
  <c r="H359" i="1"/>
  <c r="K359" i="1" s="1"/>
  <c r="N359" i="1" s="1"/>
  <c r="I432" i="1"/>
  <c r="L432" i="1" s="1"/>
  <c r="O432" i="1" s="1"/>
  <c r="H364" i="1"/>
  <c r="K364" i="1" s="1"/>
  <c r="N364" i="1" s="1"/>
  <c r="I280" i="1"/>
  <c r="L280" i="1" s="1"/>
  <c r="O280" i="1" s="1"/>
  <c r="H351" i="1"/>
  <c r="K351" i="1" s="1"/>
  <c r="N351" i="1" s="1"/>
  <c r="I419" i="1"/>
  <c r="L419" i="1" s="1"/>
  <c r="O419" i="1" s="1"/>
  <c r="H272" i="1"/>
  <c r="K272" i="1" s="1"/>
  <c r="N272" i="1" s="1"/>
  <c r="I380" i="1"/>
  <c r="L380" i="1" s="1"/>
  <c r="O380" i="1" s="1"/>
  <c r="L74" i="1"/>
  <c r="O74" i="1" s="1"/>
  <c r="L77" i="1"/>
  <c r="O77" i="1" s="1"/>
  <c r="L73" i="1"/>
  <c r="O73" i="1" s="1"/>
  <c r="H217" i="1"/>
  <c r="K217" i="1" s="1"/>
  <c r="N217" i="1" s="1"/>
  <c r="I178" i="1"/>
  <c r="L178" i="1" s="1"/>
  <c r="O178" i="1" s="1"/>
  <c r="R178" i="1" s="1"/>
  <c r="U178" i="1" s="1"/>
  <c r="M161" i="1"/>
  <c r="I219" i="1"/>
  <c r="L219" i="1" s="1"/>
  <c r="O219" i="1" s="1"/>
  <c r="I275" i="1"/>
  <c r="L275" i="1" s="1"/>
  <c r="O275" i="1" s="1"/>
  <c r="I220" i="1"/>
  <c r="L220" i="1" s="1"/>
  <c r="O220" i="1" s="1"/>
  <c r="H366" i="1"/>
  <c r="K366" i="1" s="1"/>
  <c r="N366" i="1" s="1"/>
  <c r="H431" i="1"/>
  <c r="K431" i="1" s="1"/>
  <c r="N431" i="1" s="1"/>
  <c r="I398" i="1"/>
  <c r="L398" i="1" s="1"/>
  <c r="O398" i="1" s="1"/>
  <c r="H352" i="1"/>
  <c r="K352" i="1" s="1"/>
  <c r="N352" i="1" s="1"/>
  <c r="H369" i="1"/>
  <c r="K369" i="1" s="1"/>
  <c r="N369" i="1" s="1"/>
  <c r="H266" i="1"/>
  <c r="K266" i="1" s="1"/>
  <c r="N266" i="1" s="1"/>
  <c r="K71" i="1"/>
  <c r="N71" i="1" s="1"/>
  <c r="H114" i="1"/>
  <c r="K114" i="1" s="1"/>
  <c r="N114" i="1" s="1"/>
  <c r="T139" i="5"/>
  <c r="W139" i="5" s="1"/>
  <c r="H265" i="1"/>
  <c r="K265" i="1" s="1"/>
  <c r="N265" i="1" s="1"/>
  <c r="Q265" i="1" s="1"/>
  <c r="H176" i="1"/>
  <c r="K176" i="1" s="1"/>
  <c r="N176" i="1" s="1"/>
  <c r="H268" i="1"/>
  <c r="K268" i="1" s="1"/>
  <c r="N268" i="1" s="1"/>
  <c r="K72" i="1"/>
  <c r="N72" i="1" s="1"/>
  <c r="H112" i="1"/>
  <c r="K112" i="1" s="1"/>
  <c r="N112" i="1" s="1"/>
  <c r="I402" i="1"/>
  <c r="L402" i="1" s="1"/>
  <c r="O402" i="1" s="1"/>
  <c r="T208" i="5"/>
  <c r="W208" i="5" s="1"/>
  <c r="H269" i="1"/>
  <c r="K269" i="1" s="1"/>
  <c r="N269" i="1" s="1"/>
  <c r="I223" i="1"/>
  <c r="L223" i="1" s="1"/>
  <c r="O223" i="1" s="1"/>
  <c r="H400" i="1"/>
  <c r="K400" i="1" s="1"/>
  <c r="N400" i="1" s="1"/>
  <c r="T162" i="5"/>
  <c r="W162" i="5" s="1"/>
  <c r="H403" i="1"/>
  <c r="K403" i="1" s="1"/>
  <c r="N403" i="1" s="1"/>
  <c r="H327" i="1"/>
  <c r="K327" i="1" s="1"/>
  <c r="N327" i="1" s="1"/>
  <c r="R327" i="1" s="1"/>
  <c r="U327" i="1" s="1"/>
  <c r="L60" i="1"/>
  <c r="O60" i="1" s="1"/>
  <c r="I211" i="1"/>
  <c r="L211" i="1" s="1"/>
  <c r="O211" i="1" s="1"/>
  <c r="H276" i="1"/>
  <c r="K276" i="1" s="1"/>
  <c r="N276" i="1" s="1"/>
  <c r="L75" i="1"/>
  <c r="O75" i="1" s="1"/>
  <c r="I316" i="1"/>
  <c r="L316" i="1" s="1"/>
  <c r="O316" i="1" s="1"/>
  <c r="H397" i="1"/>
  <c r="K397" i="1" s="1"/>
  <c r="N397" i="1" s="1"/>
  <c r="H349" i="1"/>
  <c r="K349" i="1" s="1"/>
  <c r="N349" i="1" s="1"/>
  <c r="H393" i="1"/>
  <c r="K393" i="1" s="1"/>
  <c r="N393" i="1" s="1"/>
  <c r="H222" i="1"/>
  <c r="K222" i="1" s="1"/>
  <c r="H123" i="1"/>
  <c r="K123" i="1" s="1"/>
  <c r="N123" i="1" s="1"/>
  <c r="H355" i="1"/>
  <c r="K355" i="1" s="1"/>
  <c r="N355" i="1" s="1"/>
  <c r="H358" i="1"/>
  <c r="K358" i="1" s="1"/>
  <c r="N358" i="1" s="1"/>
  <c r="H353" i="1"/>
  <c r="K353" i="1" s="1"/>
  <c r="N353" i="1" s="1"/>
  <c r="M356" i="1"/>
  <c r="H223" i="1"/>
  <c r="K223" i="1" s="1"/>
  <c r="N223" i="1" s="1"/>
  <c r="Q372" i="1"/>
  <c r="T372" i="1" s="1"/>
  <c r="H433" i="1"/>
  <c r="K433" i="1" s="1"/>
  <c r="N433" i="1" s="1"/>
  <c r="M212" i="1"/>
  <c r="K76" i="1"/>
  <c r="N76" i="1" s="1"/>
  <c r="I422" i="1"/>
  <c r="L422" i="1" s="1"/>
  <c r="O422" i="1" s="1"/>
  <c r="I359" i="1"/>
  <c r="L359" i="1" s="1"/>
  <c r="O359" i="1" s="1"/>
  <c r="H277" i="1"/>
  <c r="K277" i="1" s="1"/>
  <c r="N277" i="1" s="1"/>
  <c r="I229" i="1"/>
  <c r="L229" i="1" s="1"/>
  <c r="O229" i="1" s="1"/>
  <c r="I313" i="1"/>
  <c r="L313" i="1" s="1"/>
  <c r="O313" i="1" s="1"/>
  <c r="H279" i="1"/>
  <c r="K279" i="1" s="1"/>
  <c r="N279" i="1" s="1"/>
  <c r="I167" i="1"/>
  <c r="L167" i="1" s="1"/>
  <c r="O167" i="1" s="1"/>
  <c r="I364" i="1"/>
  <c r="L364" i="1" s="1"/>
  <c r="O364" i="1" s="1"/>
  <c r="I405" i="1"/>
  <c r="L405" i="1" s="1"/>
  <c r="O405" i="1" s="1"/>
  <c r="I222" i="1"/>
  <c r="L222" i="1" s="1"/>
  <c r="O222" i="1" s="1"/>
  <c r="H421" i="1"/>
  <c r="K421" i="1" s="1"/>
  <c r="N421" i="1" s="1"/>
  <c r="I272" i="1"/>
  <c r="L272" i="1" s="1"/>
  <c r="O272" i="1" s="1"/>
  <c r="I393" i="1"/>
  <c r="L393" i="1" s="1"/>
  <c r="O393" i="1" s="1"/>
  <c r="H380" i="1"/>
  <c r="K380" i="1" s="1"/>
  <c r="N380" i="1" s="1"/>
  <c r="H324" i="1"/>
  <c r="K324" i="1" s="1"/>
  <c r="N324" i="1" s="1"/>
  <c r="H341" i="1"/>
  <c r="K341" i="1" s="1"/>
  <c r="N341" i="1" s="1"/>
  <c r="I217" i="1"/>
  <c r="L217" i="1" s="1"/>
  <c r="O217" i="1" s="1"/>
  <c r="I161" i="1"/>
  <c r="L161" i="1" s="1"/>
  <c r="O161" i="1" s="1"/>
  <c r="H170" i="1"/>
  <c r="K170" i="1" s="1"/>
  <c r="N170" i="1" s="1"/>
  <c r="M346" i="1"/>
  <c r="H219" i="1"/>
  <c r="K219" i="1" s="1"/>
  <c r="N219" i="1" s="1"/>
  <c r="I343" i="1"/>
  <c r="L343" i="1" s="1"/>
  <c r="O343" i="1" s="1"/>
  <c r="I125" i="1"/>
  <c r="L125" i="1" s="1"/>
  <c r="O125" i="1" s="1"/>
  <c r="I394" i="1"/>
  <c r="L394" i="1" s="1"/>
  <c r="O394" i="1" s="1"/>
  <c r="H328" i="1"/>
  <c r="K328" i="1" s="1"/>
  <c r="N328" i="1" s="1"/>
  <c r="M374" i="1"/>
  <c r="H429" i="1"/>
  <c r="K429" i="1" s="1"/>
  <c r="N429" i="1" s="1"/>
  <c r="I368" i="1"/>
  <c r="L368" i="1" s="1"/>
  <c r="O368" i="1" s="1"/>
  <c r="R368" i="1" s="1"/>
  <c r="U368" i="1" s="1"/>
  <c r="L70" i="1"/>
  <c r="O70" i="1" s="1"/>
  <c r="H382" i="1"/>
  <c r="K382" i="1" s="1"/>
  <c r="N382" i="1" s="1"/>
  <c r="H218" i="1"/>
  <c r="K218" i="1" s="1"/>
  <c r="N218" i="1" s="1"/>
  <c r="I266" i="1"/>
  <c r="L266" i="1" s="1"/>
  <c r="O266" i="1" s="1"/>
  <c r="L71" i="1"/>
  <c r="O71" i="1" s="1"/>
  <c r="I407" i="1"/>
  <c r="L407" i="1" s="1"/>
  <c r="I326" i="1"/>
  <c r="L326" i="1" s="1"/>
  <c r="O326" i="1" s="1"/>
  <c r="H227" i="1"/>
  <c r="K227" i="1" s="1"/>
  <c r="N227" i="1" s="1"/>
  <c r="I114" i="1"/>
  <c r="L114" i="1" s="1"/>
  <c r="O114" i="1" s="1"/>
  <c r="H164" i="1"/>
  <c r="K164" i="1" s="1"/>
  <c r="N164" i="1" s="1"/>
  <c r="I410" i="1"/>
  <c r="L410" i="1" s="1"/>
  <c r="O410" i="1" s="1"/>
  <c r="I176" i="1"/>
  <c r="L176" i="1" s="1"/>
  <c r="O176" i="1" s="1"/>
  <c r="I268" i="1"/>
  <c r="L268" i="1" s="1"/>
  <c r="O268" i="1" s="1"/>
  <c r="K67" i="1"/>
  <c r="N67" i="1" s="1"/>
  <c r="I424" i="1"/>
  <c r="L424" i="1" s="1"/>
  <c r="O424" i="1" s="1"/>
  <c r="I416" i="1"/>
  <c r="L416" i="1" s="1"/>
  <c r="O416" i="1" s="1"/>
  <c r="I365" i="1"/>
  <c r="L365" i="1" s="1"/>
  <c r="O365" i="1" s="1"/>
  <c r="I315" i="1"/>
  <c r="L315" i="1" s="1"/>
  <c r="O315" i="1" s="1"/>
  <c r="R315" i="1" s="1"/>
  <c r="U315" i="1" s="1"/>
  <c r="I166" i="1"/>
  <c r="L166" i="1" s="1"/>
  <c r="O166" i="1" s="1"/>
  <c r="I420" i="1"/>
  <c r="L420" i="1" s="1"/>
  <c r="O420" i="1" s="1"/>
  <c r="R428" i="1"/>
  <c r="U428" i="1" s="1"/>
  <c r="H396" i="1"/>
  <c r="K396" i="1" s="1"/>
  <c r="N396" i="1" s="1"/>
  <c r="I403" i="1"/>
  <c r="L403" i="1" s="1"/>
  <c r="O403" i="1" s="1"/>
  <c r="I271" i="1"/>
  <c r="L271" i="1" s="1"/>
  <c r="O271" i="1" s="1"/>
  <c r="I320" i="1"/>
  <c r="L320" i="1" s="1"/>
  <c r="O320" i="1" s="1"/>
  <c r="H392" i="1"/>
  <c r="K392" i="1" s="1"/>
  <c r="N392" i="1" s="1"/>
  <c r="M276" i="1"/>
  <c r="K75" i="1"/>
  <c r="N75" i="1" s="1"/>
  <c r="H347" i="1"/>
  <c r="K347" i="1" s="1"/>
  <c r="N347" i="1" s="1"/>
  <c r="I397" i="1"/>
  <c r="L397" i="1" s="1"/>
  <c r="O397" i="1" s="1"/>
  <c r="I399" i="1"/>
  <c r="L399" i="1" s="1"/>
  <c r="M263" i="1"/>
  <c r="H406" i="1"/>
  <c r="K406" i="1" s="1"/>
  <c r="N406" i="1" s="1"/>
  <c r="H221" i="1"/>
  <c r="K221" i="1" s="1"/>
  <c r="N221" i="1" s="1"/>
  <c r="H162" i="1"/>
  <c r="K162" i="1" s="1"/>
  <c r="N162" i="1" s="1"/>
  <c r="H229" i="1"/>
  <c r="K229" i="1" s="1"/>
  <c r="N229" i="1" s="1"/>
  <c r="H126" i="1"/>
  <c r="K126" i="1" s="1"/>
  <c r="N126" i="1" s="1"/>
  <c r="H274" i="1"/>
  <c r="K274" i="1" s="1"/>
  <c r="N274" i="1" s="1"/>
  <c r="H226" i="1"/>
  <c r="K226" i="1" s="1"/>
  <c r="N226" i="1" s="1"/>
  <c r="Q226" i="1" s="1"/>
  <c r="T226" i="1" s="1"/>
  <c r="H263" i="1"/>
  <c r="K263" i="1" s="1"/>
  <c r="N263" i="1" s="1"/>
  <c r="I212" i="1"/>
  <c r="L212" i="1" s="1"/>
  <c r="O212" i="1" s="1"/>
  <c r="L76" i="1"/>
  <c r="O76" i="1" s="1"/>
  <c r="M277" i="1"/>
  <c r="H373" i="1"/>
  <c r="K373" i="1" s="1"/>
  <c r="N373" i="1" s="1"/>
  <c r="I127" i="1"/>
  <c r="L127" i="1" s="1"/>
  <c r="O127" i="1" s="1"/>
  <c r="I318" i="1"/>
  <c r="L318" i="1" s="1"/>
  <c r="O318" i="1" s="1"/>
  <c r="H319" i="1"/>
  <c r="K319" i="1" s="1"/>
  <c r="N319" i="1" s="1"/>
  <c r="H167" i="1"/>
  <c r="K167" i="1" s="1"/>
  <c r="N167" i="1" s="1"/>
  <c r="I406" i="1"/>
  <c r="L406" i="1" s="1"/>
  <c r="O406" i="1" s="1"/>
  <c r="I415" i="1"/>
  <c r="L415" i="1" s="1"/>
  <c r="O415" i="1" s="1"/>
  <c r="K77" i="1"/>
  <c r="N77" i="1" s="1"/>
  <c r="M324" i="1"/>
  <c r="I341" i="1"/>
  <c r="L341" i="1" s="1"/>
  <c r="O341" i="1" s="1"/>
  <c r="H346" i="1"/>
  <c r="K346" i="1" s="1"/>
  <c r="N346" i="1" s="1"/>
  <c r="M343" i="1"/>
  <c r="H125" i="1"/>
  <c r="K125" i="1" s="1"/>
  <c r="N125" i="1" s="1"/>
  <c r="I213" i="1"/>
  <c r="L213" i="1" s="1"/>
  <c r="O213" i="1" s="1"/>
  <c r="Q213" i="1" s="1"/>
  <c r="T213" i="1" s="1"/>
  <c r="D27" i="4" s="1"/>
  <c r="H270" i="1"/>
  <c r="K270" i="1" s="1"/>
  <c r="N270" i="1" s="1"/>
  <c r="R270" i="1" s="1"/>
  <c r="U270" i="1" s="1"/>
  <c r="M370" i="1"/>
  <c r="L61" i="1"/>
  <c r="O61" i="1" s="1"/>
  <c r="I374" i="1"/>
  <c r="L374" i="1" s="1"/>
  <c r="O374" i="1" s="1"/>
  <c r="I431" i="1"/>
  <c r="L431" i="1" s="1"/>
  <c r="O431" i="1" s="1"/>
  <c r="I278" i="1"/>
  <c r="L278" i="1" s="1"/>
  <c r="O278" i="1" s="1"/>
  <c r="K66" i="1"/>
  <c r="N66" i="1" s="1"/>
  <c r="Q66" i="1" s="1"/>
  <c r="T66" i="1" s="1"/>
  <c r="I348" i="1"/>
  <c r="L348" i="1" s="1"/>
  <c r="O348" i="1" s="1"/>
  <c r="Q348" i="1" s="1"/>
  <c r="T348" i="1" s="1"/>
  <c r="H326" i="1"/>
  <c r="K326" i="1" s="1"/>
  <c r="N326" i="1" s="1"/>
  <c r="I227" i="1"/>
  <c r="L227" i="1" s="1"/>
  <c r="O227" i="1" s="1"/>
  <c r="M216" i="1"/>
  <c r="R216" i="1" s="1"/>
  <c r="U216" i="1" s="1"/>
  <c r="H122" i="1"/>
  <c r="K122" i="1" s="1"/>
  <c r="N122" i="1" s="1"/>
  <c r="I377" i="1"/>
  <c r="L377" i="1" s="1"/>
  <c r="O377" i="1" s="1"/>
  <c r="M268" i="1"/>
  <c r="I401" i="1"/>
  <c r="L401" i="1" s="1"/>
  <c r="O401" i="1" s="1"/>
  <c r="H402" i="1"/>
  <c r="K402" i="1" s="1"/>
  <c r="N402" i="1" s="1"/>
  <c r="Q423" i="1"/>
  <c r="T423" i="1" s="1"/>
  <c r="I111" i="1"/>
  <c r="L111" i="1" s="1"/>
  <c r="O111" i="1" s="1"/>
  <c r="M325" i="1"/>
  <c r="Q315" i="1"/>
  <c r="T315" i="1" s="1"/>
  <c r="H420" i="1"/>
  <c r="K420" i="1" s="1"/>
  <c r="N420" i="1" s="1"/>
  <c r="M317" i="1"/>
  <c r="R317" i="1" s="1"/>
  <c r="U317" i="1" s="1"/>
  <c r="H271" i="1"/>
  <c r="K271" i="1" s="1"/>
  <c r="M367" i="1"/>
  <c r="T248" i="5"/>
  <c r="W248" i="5" s="1"/>
  <c r="I392" i="1"/>
  <c r="L392" i="1" s="1"/>
  <c r="O392" i="1" s="1"/>
  <c r="H228" i="1"/>
  <c r="K228" i="1" s="1"/>
  <c r="H267" i="1"/>
  <c r="K267" i="1" s="1"/>
  <c r="N267" i="1" s="1"/>
  <c r="R267" i="1" s="1"/>
  <c r="U267" i="1" s="1"/>
  <c r="I329" i="1"/>
  <c r="L329" i="1" s="1"/>
  <c r="O329" i="1" s="1"/>
  <c r="I276" i="1"/>
  <c r="L276" i="1" s="1"/>
  <c r="O276" i="1" s="1"/>
  <c r="H376" i="1"/>
  <c r="K376" i="1" s="1"/>
  <c r="N376" i="1" s="1"/>
  <c r="R376" i="1" s="1"/>
  <c r="U376" i="1" s="1"/>
  <c r="K65" i="1"/>
  <c r="N65" i="1" s="1"/>
  <c r="E155" i="1"/>
  <c r="I155" i="1" s="1"/>
  <c r="L155" i="1" s="1"/>
  <c r="O155" i="1" s="1"/>
  <c r="P155" i="1"/>
  <c r="D36" i="1"/>
  <c r="B13" i="2" s="1"/>
  <c r="E301" i="1"/>
  <c r="H301" i="1" s="1"/>
  <c r="K301" i="1" s="1"/>
  <c r="D301" i="1"/>
  <c r="E252" i="1"/>
  <c r="F252" i="1" s="1"/>
  <c r="S252" i="1" s="1"/>
  <c r="D252" i="1"/>
  <c r="E254" i="1"/>
  <c r="H254" i="1" s="1"/>
  <c r="K254" i="1" s="1"/>
  <c r="N254" i="1" s="1"/>
  <c r="D254" i="1"/>
  <c r="E150" i="1"/>
  <c r="H150" i="1" s="1"/>
  <c r="K150" i="1" s="1"/>
  <c r="N150" i="1" s="1"/>
  <c r="D150" i="1"/>
  <c r="P140" i="1"/>
  <c r="D140" i="1"/>
  <c r="E93" i="1"/>
  <c r="H93" i="1" s="1"/>
  <c r="K93" i="1" s="1"/>
  <c r="D93" i="1"/>
  <c r="E297" i="1"/>
  <c r="H297" i="1" s="1"/>
  <c r="K297" i="1" s="1"/>
  <c r="D297" i="1"/>
  <c r="E249" i="1"/>
  <c r="G249" i="1" s="1"/>
  <c r="J249" i="1" s="1"/>
  <c r="M249" i="1" s="1"/>
  <c r="D249" i="1"/>
  <c r="E189" i="1"/>
  <c r="I189" i="1" s="1"/>
  <c r="L189" i="1" s="1"/>
  <c r="O189" i="1" s="1"/>
  <c r="D189" i="1"/>
  <c r="P294" i="1"/>
  <c r="D294" i="1"/>
  <c r="E245" i="1"/>
  <c r="I245" i="1" s="1"/>
  <c r="L245" i="1" s="1"/>
  <c r="O245" i="1" s="1"/>
  <c r="D245" i="1"/>
  <c r="E141" i="1"/>
  <c r="I141" i="1" s="1"/>
  <c r="L141" i="1" s="1"/>
  <c r="O141" i="1" s="1"/>
  <c r="D141" i="1"/>
  <c r="E146" i="1"/>
  <c r="I146" i="1" s="1"/>
  <c r="L146" i="1" s="1"/>
  <c r="O146" i="1" s="1"/>
  <c r="D146" i="1"/>
  <c r="E241" i="1"/>
  <c r="H241" i="1" s="1"/>
  <c r="K241" i="1" s="1"/>
  <c r="N241" i="1" s="1"/>
  <c r="D241" i="1"/>
  <c r="E44" i="1"/>
  <c r="H44" i="1" s="1"/>
  <c r="K44" i="1" s="1"/>
  <c r="N44" i="1" s="1"/>
  <c r="D44" i="1"/>
  <c r="E88" i="1"/>
  <c r="H88" i="1" s="1"/>
  <c r="K88" i="1" s="1"/>
  <c r="D88" i="1"/>
  <c r="E203" i="1"/>
  <c r="F203" i="1" s="1"/>
  <c r="S203" i="1" s="1"/>
  <c r="D203" i="1"/>
  <c r="E246" i="1"/>
  <c r="H246" i="1" s="1"/>
  <c r="K246" i="1" s="1"/>
  <c r="N246" i="1" s="1"/>
  <c r="D246" i="1"/>
  <c r="E196" i="1"/>
  <c r="G196" i="1" s="1"/>
  <c r="J196" i="1" s="1"/>
  <c r="M196" i="1" s="1"/>
  <c r="D196" i="1"/>
  <c r="E149" i="1"/>
  <c r="H149" i="1" s="1"/>
  <c r="K149" i="1" s="1"/>
  <c r="N149" i="1" s="1"/>
  <c r="D149" i="1"/>
  <c r="E191" i="1"/>
  <c r="F191" i="1" s="1"/>
  <c r="S191" i="1" s="1"/>
  <c r="D191" i="1"/>
  <c r="E105" i="1"/>
  <c r="H105" i="1" s="1"/>
  <c r="K105" i="1" s="1"/>
  <c r="D105" i="1"/>
  <c r="E242" i="1"/>
  <c r="H242" i="1" s="1"/>
  <c r="K242" i="1" s="1"/>
  <c r="N242" i="1" s="1"/>
  <c r="D242" i="1"/>
  <c r="E156" i="1"/>
  <c r="H156" i="1" s="1"/>
  <c r="K156" i="1" s="1"/>
  <c r="N156" i="1" s="1"/>
  <c r="D156" i="1"/>
  <c r="E40" i="1"/>
  <c r="F40" i="1" s="1"/>
  <c r="S40" i="1" s="1"/>
  <c r="D40" i="1"/>
  <c r="P156" i="1"/>
  <c r="E291" i="1"/>
  <c r="H291" i="1" s="1"/>
  <c r="K291" i="1" s="1"/>
  <c r="D291" i="1"/>
  <c r="E152" i="1"/>
  <c r="H152" i="1" s="1"/>
  <c r="K152" i="1" s="1"/>
  <c r="D152" i="1"/>
  <c r="E99" i="1"/>
  <c r="H99" i="1" s="1"/>
  <c r="K99" i="1" s="1"/>
  <c r="D99" i="1"/>
  <c r="E43" i="1"/>
  <c r="I43" i="1" s="1"/>
  <c r="L43" i="1" s="1"/>
  <c r="O43" i="1" s="1"/>
  <c r="D43" i="1"/>
  <c r="E54" i="1"/>
  <c r="F54" i="1" s="1"/>
  <c r="S54" i="1" s="1"/>
  <c r="B37" i="2"/>
  <c r="P147" i="1"/>
  <c r="P291" i="1"/>
  <c r="P302" i="1"/>
  <c r="D302" i="1"/>
  <c r="E148" i="1"/>
  <c r="G148" i="1" s="1"/>
  <c r="J148" i="1" s="1"/>
  <c r="M148" i="1" s="1"/>
  <c r="D148" i="1"/>
  <c r="E197" i="1"/>
  <c r="F197" i="1" s="1"/>
  <c r="S197" i="1" s="1"/>
  <c r="D197" i="1"/>
  <c r="E299" i="1"/>
  <c r="H299" i="1" s="1"/>
  <c r="K299" i="1" s="1"/>
  <c r="D299" i="1"/>
  <c r="E304" i="1"/>
  <c r="H304" i="1" s="1"/>
  <c r="K304" i="1" s="1"/>
  <c r="D304" i="1"/>
  <c r="E52" i="1"/>
  <c r="G52" i="1" s="1"/>
  <c r="J52" i="1" s="1"/>
  <c r="M52" i="1" s="1"/>
  <c r="D52" i="1"/>
  <c r="E205" i="1"/>
  <c r="F205" i="1" s="1"/>
  <c r="S205" i="1" s="1"/>
  <c r="D205" i="1"/>
  <c r="E198" i="1"/>
  <c r="F198" i="1" s="1"/>
  <c r="S198" i="1" s="1"/>
  <c r="D198" i="1"/>
  <c r="P205" i="1"/>
  <c r="E144" i="1"/>
  <c r="H144" i="1" s="1"/>
  <c r="K144" i="1" s="1"/>
  <c r="D144" i="1"/>
  <c r="E307" i="1"/>
  <c r="G307" i="1" s="1"/>
  <c r="J307" i="1" s="1"/>
  <c r="M307" i="1" s="1"/>
  <c r="D307" i="1"/>
  <c r="E50" i="1"/>
  <c r="G50" i="1" s="1"/>
  <c r="J50" i="1" s="1"/>
  <c r="M50" i="1" s="1"/>
  <c r="D50" i="1"/>
  <c r="P90" i="1"/>
  <c r="D90" i="1"/>
  <c r="E257" i="1"/>
  <c r="F257" i="1" s="1"/>
  <c r="S257" i="1" s="1"/>
  <c r="D257" i="1"/>
  <c r="E202" i="1"/>
  <c r="G202" i="1" s="1"/>
  <c r="J202" i="1" s="1"/>
  <c r="M202" i="1" s="1"/>
  <c r="D202" i="1"/>
  <c r="E193" i="1"/>
  <c r="G193" i="1" s="1"/>
  <c r="J193" i="1" s="1"/>
  <c r="M193" i="1" s="1"/>
  <c r="D193" i="1"/>
  <c r="E142" i="1"/>
  <c r="F142" i="1" s="1"/>
  <c r="S142" i="1" s="1"/>
  <c r="D142" i="1"/>
  <c r="E96" i="1"/>
  <c r="G96" i="1" s="1"/>
  <c r="J96" i="1" s="1"/>
  <c r="M96" i="1" s="1"/>
  <c r="D96" i="1"/>
  <c r="E147" i="1"/>
  <c r="H147" i="1" s="1"/>
  <c r="K147" i="1" s="1"/>
  <c r="N147" i="1" s="1"/>
  <c r="P105" i="1"/>
  <c r="E308" i="1"/>
  <c r="I308" i="1" s="1"/>
  <c r="L308" i="1" s="1"/>
  <c r="O308" i="1" s="1"/>
  <c r="D308" i="1"/>
  <c r="E253" i="1"/>
  <c r="I253" i="1" s="1"/>
  <c r="L253" i="1" s="1"/>
  <c r="O253" i="1" s="1"/>
  <c r="D253" i="1"/>
  <c r="E190" i="1"/>
  <c r="I190" i="1" s="1"/>
  <c r="L190" i="1" s="1"/>
  <c r="O190" i="1" s="1"/>
  <c r="D190" i="1"/>
  <c r="E104" i="1"/>
  <c r="I104" i="1" s="1"/>
  <c r="L104" i="1" s="1"/>
  <c r="O104" i="1" s="1"/>
  <c r="D104" i="1"/>
  <c r="E92" i="1"/>
  <c r="I92" i="1" s="1"/>
  <c r="L92" i="1" s="1"/>
  <c r="O92" i="1" s="1"/>
  <c r="D92" i="1"/>
  <c r="E89" i="1"/>
  <c r="H89" i="1" s="1"/>
  <c r="K89" i="1" s="1"/>
  <c r="D89" i="1"/>
  <c r="E305" i="1"/>
  <c r="I305" i="1" s="1"/>
  <c r="L305" i="1" s="1"/>
  <c r="D305" i="1"/>
  <c r="P306" i="1"/>
  <c r="D306" i="1"/>
  <c r="E248" i="1"/>
  <c r="H248" i="1" s="1"/>
  <c r="K248" i="1" s="1"/>
  <c r="N248" i="1" s="1"/>
  <c r="D248" i="1"/>
  <c r="E101" i="1"/>
  <c r="I101" i="1" s="1"/>
  <c r="L101" i="1" s="1"/>
  <c r="O101" i="1" s="1"/>
  <c r="D101" i="1"/>
  <c r="E293" i="1"/>
  <c r="H293" i="1" s="1"/>
  <c r="K293" i="1" s="1"/>
  <c r="D293" i="1"/>
  <c r="P93" i="1"/>
  <c r="E300" i="1"/>
  <c r="G300" i="1" s="1"/>
  <c r="J300" i="1" s="1"/>
  <c r="M300" i="1" s="1"/>
  <c r="D300" i="1"/>
  <c r="E244" i="1"/>
  <c r="H244" i="1" s="1"/>
  <c r="K244" i="1" s="1"/>
  <c r="N244" i="1" s="1"/>
  <c r="D244" i="1"/>
  <c r="P139" i="1"/>
  <c r="D139" i="1"/>
  <c r="E204" i="1"/>
  <c r="F204" i="1" s="1"/>
  <c r="S204" i="1" s="1"/>
  <c r="D204" i="1"/>
  <c r="E256" i="1"/>
  <c r="I256" i="1" s="1"/>
  <c r="L256" i="1" s="1"/>
  <c r="O256" i="1" s="1"/>
  <c r="D256" i="1"/>
  <c r="E37" i="1"/>
  <c r="E103" i="1"/>
  <c r="I103" i="1" s="1"/>
  <c r="L103" i="1" s="1"/>
  <c r="O103" i="1" s="1"/>
  <c r="D103" i="1"/>
  <c r="P144" i="1"/>
  <c r="E53" i="1"/>
  <c r="H53" i="1" s="1"/>
  <c r="K53" i="1" s="1"/>
  <c r="N53" i="1" s="1"/>
  <c r="D53" i="1"/>
  <c r="P89" i="1"/>
  <c r="P102" i="1"/>
  <c r="D102" i="1"/>
  <c r="E200" i="1"/>
  <c r="I200" i="1" s="1"/>
  <c r="L200" i="1" s="1"/>
  <c r="O200" i="1" s="1"/>
  <c r="D200" i="1"/>
  <c r="P191" i="1"/>
  <c r="E47" i="1"/>
  <c r="F47" i="1" s="1"/>
  <c r="S47" i="1" s="1"/>
  <c r="D47" i="1"/>
  <c r="E97" i="1"/>
  <c r="H97" i="1" s="1"/>
  <c r="K97" i="1" s="1"/>
  <c r="D97" i="1"/>
  <c r="E201" i="1"/>
  <c r="G201" i="1" s="1"/>
  <c r="J201" i="1" s="1"/>
  <c r="M201" i="1" s="1"/>
  <c r="D201" i="1"/>
  <c r="E95" i="1"/>
  <c r="H95" i="1" s="1"/>
  <c r="K95" i="1" s="1"/>
  <c r="D95" i="1"/>
  <c r="E194" i="1"/>
  <c r="I194" i="1" s="1"/>
  <c r="L194" i="1" s="1"/>
  <c r="O194" i="1" s="1"/>
  <c r="D194" i="1"/>
  <c r="E153" i="1"/>
  <c r="I153" i="1" s="1"/>
  <c r="L153" i="1" s="1"/>
  <c r="O153" i="1" s="1"/>
  <c r="D153" i="1"/>
  <c r="E48" i="1"/>
  <c r="F48" i="1" s="1"/>
  <c r="S48" i="1" s="1"/>
  <c r="D48" i="1"/>
  <c r="B30" i="2" s="1"/>
  <c r="E90" i="1"/>
  <c r="G90" i="1" s="1"/>
  <c r="J90" i="1" s="1"/>
  <c r="M90" i="1" s="1"/>
  <c r="E206" i="1"/>
  <c r="G206" i="1" s="1"/>
  <c r="J206" i="1" s="1"/>
  <c r="M206" i="1" s="1"/>
  <c r="D206" i="1"/>
  <c r="P149" i="1"/>
  <c r="E42" i="1"/>
  <c r="H42" i="1" s="1"/>
  <c r="K42" i="1" s="1"/>
  <c r="N42" i="1" s="1"/>
  <c r="D42" i="1"/>
  <c r="B23" i="2" s="1"/>
  <c r="E298" i="1"/>
  <c r="H298" i="1" s="1"/>
  <c r="K298" i="1" s="1"/>
  <c r="E38" i="1"/>
  <c r="F38" i="1" s="1"/>
  <c r="S38" i="1" s="1"/>
  <c r="E151" i="1"/>
  <c r="G151" i="1" s="1"/>
  <c r="J151" i="1" s="1"/>
  <c r="E199" i="1"/>
  <c r="F199" i="1" s="1"/>
  <c r="S199" i="1" s="1"/>
  <c r="D199" i="1"/>
  <c r="E145" i="1"/>
  <c r="H145" i="1" s="1"/>
  <c r="K145" i="1" s="1"/>
  <c r="N145" i="1" s="1"/>
  <c r="D145" i="1"/>
  <c r="E192" i="1"/>
  <c r="F192" i="1" s="1"/>
  <c r="S192" i="1" s="1"/>
  <c r="D192" i="1"/>
  <c r="E45" i="1"/>
  <c r="F45" i="1" s="1"/>
  <c r="S45" i="1" s="1"/>
  <c r="D45" i="1"/>
  <c r="E51" i="1"/>
  <c r="H51" i="1" s="1"/>
  <c r="K51" i="1" s="1"/>
  <c r="N51" i="1" s="1"/>
  <c r="D51" i="1"/>
  <c r="E295" i="1"/>
  <c r="G295" i="1" s="1"/>
  <c r="J295" i="1" s="1"/>
  <c r="M295" i="1" s="1"/>
  <c r="D295" i="1"/>
  <c r="P298" i="1"/>
  <c r="E46" i="1"/>
  <c r="G46" i="1" s="1"/>
  <c r="J46" i="1" s="1"/>
  <c r="M46" i="1" s="1"/>
  <c r="D46" i="1"/>
  <c r="P151" i="1"/>
  <c r="E240" i="1"/>
  <c r="H240" i="1" s="1"/>
  <c r="K240" i="1" s="1"/>
  <c r="D240" i="1"/>
  <c r="E195" i="1"/>
  <c r="I195" i="1" s="1"/>
  <c r="L195" i="1" s="1"/>
  <c r="O195" i="1" s="1"/>
  <c r="D195" i="1"/>
  <c r="E250" i="1"/>
  <c r="H250" i="1" s="1"/>
  <c r="K250" i="1" s="1"/>
  <c r="N250" i="1" s="1"/>
  <c r="D250" i="1"/>
  <c r="E39" i="1"/>
  <c r="H39" i="1" s="1"/>
  <c r="K39" i="1" s="1"/>
  <c r="N39" i="1" s="1"/>
  <c r="D39" i="1"/>
  <c r="P290" i="1"/>
  <c r="D290" i="1"/>
  <c r="E188" i="1"/>
  <c r="F188" i="1" s="1"/>
  <c r="S188" i="1" s="1"/>
  <c r="D188" i="1"/>
  <c r="E138" i="1"/>
  <c r="D138" i="1"/>
  <c r="E87" i="1"/>
  <c r="H87" i="1" s="1"/>
  <c r="K87" i="1" s="1"/>
  <c r="D87" i="1"/>
  <c r="E36" i="1"/>
  <c r="I36" i="1" s="1"/>
  <c r="L36" i="1" s="1"/>
  <c r="O36" i="1" s="1"/>
  <c r="G299" i="1"/>
  <c r="J299" i="1" s="1"/>
  <c r="M299" i="1" s="1"/>
  <c r="P104" i="1"/>
  <c r="P193" i="1"/>
  <c r="P197" i="1"/>
  <c r="P188" i="1"/>
  <c r="E294" i="1"/>
  <c r="I294" i="1" s="1"/>
  <c r="L294" i="1" s="1"/>
  <c r="O294" i="1" s="1"/>
  <c r="P198" i="1"/>
  <c r="P206" i="1"/>
  <c r="P95" i="1"/>
  <c r="P201" i="1"/>
  <c r="F189" i="1"/>
  <c r="S189" i="1" s="1"/>
  <c r="P189" i="1"/>
  <c r="P200" i="1"/>
  <c r="H249" i="1"/>
  <c r="K249" i="1" s="1"/>
  <c r="N249" i="1" s="1"/>
  <c r="P103" i="1"/>
  <c r="P299" i="1"/>
  <c r="P203" i="1"/>
  <c r="P195" i="1"/>
  <c r="P293" i="1"/>
  <c r="P249" i="1"/>
  <c r="P244" i="1"/>
  <c r="G191" i="1"/>
  <c r="J191" i="1" s="1"/>
  <c r="M191" i="1" s="1"/>
  <c r="P196" i="1"/>
  <c r="P199" i="1"/>
  <c r="P192" i="1"/>
  <c r="F200" i="1"/>
  <c r="S200" i="1" s="1"/>
  <c r="P204" i="1"/>
  <c r="P202" i="1"/>
  <c r="P194" i="1"/>
  <c r="E306" i="1"/>
  <c r="I306" i="1" s="1"/>
  <c r="L306" i="1" s="1"/>
  <c r="O306" i="1" s="1"/>
  <c r="E290" i="1"/>
  <c r="I290" i="1" s="1"/>
  <c r="L290" i="1" s="1"/>
  <c r="O290" i="1" s="1"/>
  <c r="P304" i="1"/>
  <c r="P257" i="1"/>
  <c r="E140" i="1"/>
  <c r="I140" i="1" s="1"/>
  <c r="L140" i="1" s="1"/>
  <c r="O140" i="1" s="1"/>
  <c r="P153" i="1"/>
  <c r="E139" i="1"/>
  <c r="H139" i="1" s="1"/>
  <c r="K139" i="1" s="1"/>
  <c r="N139" i="1" s="1"/>
  <c r="P145" i="1"/>
  <c r="P87" i="1"/>
  <c r="E302" i="1"/>
  <c r="F302" i="1" s="1"/>
  <c r="S302" i="1" s="1"/>
  <c r="P256" i="1"/>
  <c r="P253" i="1"/>
  <c r="P150" i="1"/>
  <c r="P96" i="1"/>
  <c r="P44" i="1"/>
  <c r="E41" i="1"/>
  <c r="F41" i="1" s="1"/>
  <c r="S41" i="1" s="1"/>
  <c r="P41" i="1"/>
  <c r="E292" i="1"/>
  <c r="P292" i="1"/>
  <c r="E154" i="1"/>
  <c r="P154" i="1"/>
  <c r="P252" i="1"/>
  <c r="P53" i="1"/>
  <c r="P46" i="1"/>
  <c r="P94" i="1"/>
  <c r="E94" i="1"/>
  <c r="P300" i="1"/>
  <c r="I152" i="1"/>
  <c r="L152" i="1" s="1"/>
  <c r="O152" i="1" s="1"/>
  <c r="P92" i="1"/>
  <c r="E303" i="1"/>
  <c r="P303" i="1"/>
  <c r="E91" i="1"/>
  <c r="P91" i="1"/>
  <c r="P146" i="1"/>
  <c r="P52" i="1"/>
  <c r="P247" i="1"/>
  <c r="E247" i="1"/>
  <c r="P148" i="1"/>
  <c r="P43" i="1"/>
  <c r="P88" i="1"/>
  <c r="P243" i="1"/>
  <c r="E243" i="1"/>
  <c r="P239" i="1"/>
  <c r="E239" i="1"/>
  <c r="H305" i="1"/>
  <c r="K305" i="1" s="1"/>
  <c r="P98" i="1"/>
  <c r="E98" i="1"/>
  <c r="P51" i="1"/>
  <c r="P38" i="1"/>
  <c r="E49" i="1"/>
  <c r="H49" i="1" s="1"/>
  <c r="K49" i="1" s="1"/>
  <c r="N49" i="1" s="1"/>
  <c r="P49" i="1"/>
  <c r="P97" i="1"/>
  <c r="P248" i="1"/>
  <c r="G141" i="1"/>
  <c r="J141" i="1" s="1"/>
  <c r="M141" i="1" s="1"/>
  <c r="P295" i="1"/>
  <c r="P54" i="1"/>
  <c r="P138" i="1"/>
  <c r="P47" i="1"/>
  <c r="P255" i="1"/>
  <c r="E255" i="1"/>
  <c r="P40" i="1"/>
  <c r="P240" i="1"/>
  <c r="P42" i="1"/>
  <c r="P37" i="1"/>
  <c r="P251" i="1"/>
  <c r="E251" i="1"/>
  <c r="P141" i="1"/>
  <c r="P48" i="1"/>
  <c r="P308" i="1"/>
  <c r="P50" i="1"/>
  <c r="E296" i="1"/>
  <c r="P296" i="1"/>
  <c r="P45" i="1"/>
  <c r="E100" i="1"/>
  <c r="P100" i="1"/>
  <c r="F155" i="1"/>
  <c r="S155" i="1" s="1"/>
  <c r="I143" i="1"/>
  <c r="L143" i="1" s="1"/>
  <c r="O143" i="1" s="1"/>
  <c r="H143" i="1"/>
  <c r="K143" i="1" s="1"/>
  <c r="N143" i="1" s="1"/>
  <c r="G143" i="1"/>
  <c r="J143" i="1" s="1"/>
  <c r="F143" i="1"/>
  <c r="S143" i="1" s="1"/>
  <c r="I102" i="1"/>
  <c r="L102" i="1" s="1"/>
  <c r="O102" i="1" s="1"/>
  <c r="H102" i="1"/>
  <c r="K102" i="1" s="1"/>
  <c r="G102" i="1"/>
  <c r="J102" i="1" s="1"/>
  <c r="M102" i="1" s="1"/>
  <c r="F102" i="1"/>
  <c r="S102" i="1" s="1"/>
  <c r="H37" i="1"/>
  <c r="K37" i="1" s="1"/>
  <c r="N37" i="1" s="1"/>
  <c r="I37" i="1"/>
  <c r="L37" i="1" s="1"/>
  <c r="O37" i="1" s="1"/>
  <c r="G37" i="1"/>
  <c r="J37" i="1" s="1"/>
  <c r="M37" i="1" s="1"/>
  <c r="F37" i="1"/>
  <c r="S37" i="1" s="1"/>
  <c r="H45" i="1"/>
  <c r="K45" i="1" s="1"/>
  <c r="N45" i="1" s="1"/>
  <c r="H206" i="1" l="1"/>
  <c r="K206" i="1" s="1"/>
  <c r="N206" i="1" s="1"/>
  <c r="I201" i="1"/>
  <c r="L201" i="1" s="1"/>
  <c r="O201" i="1" s="1"/>
  <c r="Q426" i="1"/>
  <c r="T426" i="1" s="1"/>
  <c r="H191" i="1"/>
  <c r="K191" i="1" s="1"/>
  <c r="N191" i="1" s="1"/>
  <c r="F190" i="1"/>
  <c r="S190" i="1" s="1"/>
  <c r="I41" i="1"/>
  <c r="L41" i="1" s="1"/>
  <c r="O41" i="1" s="1"/>
  <c r="Q394" i="1"/>
  <c r="T394" i="1" s="1"/>
  <c r="R400" i="1"/>
  <c r="U400" i="1" s="1"/>
  <c r="R420" i="1"/>
  <c r="U420" i="1" s="1"/>
  <c r="R418" i="1"/>
  <c r="U418" i="1" s="1"/>
  <c r="Q365" i="1"/>
  <c r="T365" i="1" s="1"/>
  <c r="R124" i="1"/>
  <c r="U124" i="1" s="1"/>
  <c r="H40" i="1"/>
  <c r="K40" i="1" s="1"/>
  <c r="N40" i="1" s="1"/>
  <c r="I249" i="1"/>
  <c r="L249" i="1" s="1"/>
  <c r="O249" i="1" s="1"/>
  <c r="Q280" i="1"/>
  <c r="T280" i="1" s="1"/>
  <c r="Q377" i="1"/>
  <c r="T377" i="1" s="1"/>
  <c r="Q428" i="1"/>
  <c r="T428" i="1" s="1"/>
  <c r="Q351" i="1"/>
  <c r="T351" i="1" s="1"/>
  <c r="G155" i="1"/>
  <c r="J155" i="1" s="1"/>
  <c r="H155" i="1"/>
  <c r="K155" i="1" s="1"/>
  <c r="N155" i="1" s="1"/>
  <c r="R426" i="1"/>
  <c r="U426" i="1" s="1"/>
  <c r="T265" i="1"/>
  <c r="D38" i="4" s="1"/>
  <c r="W242" i="1"/>
  <c r="G51" i="1"/>
  <c r="J51" i="1" s="1"/>
  <c r="M51" i="1" s="1"/>
  <c r="F298" i="1"/>
  <c r="S298" i="1" s="1"/>
  <c r="I203" i="1"/>
  <c r="L203" i="1" s="1"/>
  <c r="O203" i="1" s="1"/>
  <c r="G298" i="1"/>
  <c r="J298" i="1" s="1"/>
  <c r="M298" i="1" s="1"/>
  <c r="R433" i="1"/>
  <c r="U433" i="1" s="1"/>
  <c r="H90" i="1"/>
  <c r="K90" i="1" s="1"/>
  <c r="N90" i="1" s="1"/>
  <c r="I298" i="1"/>
  <c r="L298" i="1" s="1"/>
  <c r="O298" i="1" s="1"/>
  <c r="R265" i="1"/>
  <c r="U265" i="1" s="1"/>
  <c r="Q266" i="1"/>
  <c r="Q229" i="1"/>
  <c r="T229" i="1" s="1"/>
  <c r="G199" i="1"/>
  <c r="J199" i="1" s="1"/>
  <c r="M199" i="1" s="1"/>
  <c r="Q322" i="1"/>
  <c r="T322" i="1" s="1"/>
  <c r="R314" i="1"/>
  <c r="U314" i="1" s="1"/>
  <c r="R323" i="1"/>
  <c r="U323" i="1" s="1"/>
  <c r="Q112" i="1"/>
  <c r="T112" i="1" s="1"/>
  <c r="D25" i="4" s="1"/>
  <c r="Q124" i="1"/>
  <c r="T124" i="1" s="1"/>
  <c r="Q111" i="1"/>
  <c r="T111" i="1" s="1"/>
  <c r="D14" i="4" s="1"/>
  <c r="R217" i="1"/>
  <c r="U217" i="1" s="1"/>
  <c r="Q275" i="1"/>
  <c r="T275" i="1" s="1"/>
  <c r="Q225" i="1"/>
  <c r="T225" i="1" s="1"/>
  <c r="R224" i="1"/>
  <c r="U224" i="1" s="1"/>
  <c r="R168" i="1"/>
  <c r="U168" i="1" s="1"/>
  <c r="Q424" i="1"/>
  <c r="T424" i="1" s="1"/>
  <c r="R175" i="1"/>
  <c r="U175" i="1" s="1"/>
  <c r="R409" i="1"/>
  <c r="U409" i="1" s="1"/>
  <c r="Q126" i="1"/>
  <c r="T126" i="1" s="1"/>
  <c r="Q170" i="1"/>
  <c r="T170" i="1" s="1"/>
  <c r="R421" i="1"/>
  <c r="U421" i="1" s="1"/>
  <c r="Q349" i="1"/>
  <c r="T349" i="1" s="1"/>
  <c r="Q167" i="1"/>
  <c r="T167" i="1" s="1"/>
  <c r="Q369" i="1"/>
  <c r="T369" i="1" s="1"/>
  <c r="R325" i="1"/>
  <c r="U325" i="1" s="1"/>
  <c r="R350" i="1"/>
  <c r="U350" i="1" s="1"/>
  <c r="R274" i="1"/>
  <c r="U274" i="1" s="1"/>
  <c r="Q324" i="1"/>
  <c r="T324" i="1" s="1"/>
  <c r="R329" i="1"/>
  <c r="U329" i="1" s="1"/>
  <c r="Q317" i="1"/>
  <c r="T317" i="1" s="1"/>
  <c r="Q373" i="1"/>
  <c r="T373" i="1" s="1"/>
  <c r="Q171" i="1"/>
  <c r="T171" i="1" s="1"/>
  <c r="R352" i="1"/>
  <c r="U352" i="1" s="1"/>
  <c r="Q272" i="1"/>
  <c r="T272" i="1" s="1"/>
  <c r="R330" i="1"/>
  <c r="U330" i="1" s="1"/>
  <c r="Q342" i="1"/>
  <c r="T342" i="1" s="1"/>
  <c r="Q403" i="1"/>
  <c r="T403" i="1" s="1"/>
  <c r="Q395" i="1"/>
  <c r="T395" i="1" s="1"/>
  <c r="R174" i="1"/>
  <c r="U174" i="1" s="1"/>
  <c r="R367" i="1"/>
  <c r="U367" i="1" s="1"/>
  <c r="R122" i="1"/>
  <c r="U122" i="1" s="1"/>
  <c r="R394" i="1"/>
  <c r="U394" i="1" s="1"/>
  <c r="R358" i="1"/>
  <c r="U358" i="1" s="1"/>
  <c r="R355" i="1"/>
  <c r="U355" i="1" s="1"/>
  <c r="R381" i="1"/>
  <c r="U381" i="1" s="1"/>
  <c r="R61" i="1"/>
  <c r="U61" i="1" s="1"/>
  <c r="E24" i="4" s="1"/>
  <c r="R62" i="1"/>
  <c r="U62" i="1" s="1"/>
  <c r="E44" i="4" s="1"/>
  <c r="R68" i="1"/>
  <c r="U68" i="1" s="1"/>
  <c r="Q116" i="1"/>
  <c r="T116" i="1" s="1"/>
  <c r="R127" i="1"/>
  <c r="U127" i="1" s="1"/>
  <c r="R116" i="1"/>
  <c r="U116" i="1" s="1"/>
  <c r="Q120" i="1"/>
  <c r="T120" i="1" s="1"/>
  <c r="Q125" i="1"/>
  <c r="T125" i="1" s="1"/>
  <c r="Q123" i="1"/>
  <c r="T123" i="1" s="1"/>
  <c r="Q117" i="1"/>
  <c r="T117" i="1" s="1"/>
  <c r="Q59" i="1"/>
  <c r="T59" i="1" s="1"/>
  <c r="Q71" i="1"/>
  <c r="T71" i="1" s="1"/>
  <c r="R65" i="1"/>
  <c r="U65" i="1" s="1"/>
  <c r="Q73" i="1"/>
  <c r="T73" i="1" s="1"/>
  <c r="R77" i="1"/>
  <c r="U77" i="1" s="1"/>
  <c r="Q74" i="1"/>
  <c r="T74" i="1" s="1"/>
  <c r="R59" i="1"/>
  <c r="U59" i="1" s="1"/>
  <c r="R162" i="1"/>
  <c r="U162" i="1" s="1"/>
  <c r="E15" i="4" s="1"/>
  <c r="R328" i="1"/>
  <c r="U328" i="1" s="1"/>
  <c r="R176" i="1"/>
  <c r="U176" i="1" s="1"/>
  <c r="Q352" i="1"/>
  <c r="T352" i="1" s="1"/>
  <c r="Q211" i="1"/>
  <c r="T211" i="1" s="1"/>
  <c r="R163" i="1"/>
  <c r="U163" i="1" s="1"/>
  <c r="E26" i="4" s="1"/>
  <c r="Q368" i="1"/>
  <c r="T368" i="1" s="1"/>
  <c r="I51" i="1"/>
  <c r="L51" i="1" s="1"/>
  <c r="O51" i="1" s="1"/>
  <c r="H96" i="1"/>
  <c r="K96" i="1" s="1"/>
  <c r="N96" i="1" s="1"/>
  <c r="Q276" i="1"/>
  <c r="T276" i="1" s="1"/>
  <c r="Q422" i="1"/>
  <c r="T422" i="1" s="1"/>
  <c r="R110" i="1"/>
  <c r="U110" i="1" s="1"/>
  <c r="Q62" i="1"/>
  <c r="T62" i="1" s="1"/>
  <c r="D34" i="4" s="1"/>
  <c r="Q63" i="1"/>
  <c r="T63" i="1" s="1"/>
  <c r="D44" i="4" s="1"/>
  <c r="H295" i="1"/>
  <c r="K295" i="1" s="1"/>
  <c r="N295" i="1" s="1"/>
  <c r="Q392" i="1"/>
  <c r="T392" i="1" s="1"/>
  <c r="Q218" i="1"/>
  <c r="T218" i="1" s="1"/>
  <c r="Q355" i="1"/>
  <c r="T355" i="1" s="1"/>
  <c r="Q393" i="1"/>
  <c r="T393" i="1" s="1"/>
  <c r="Q396" i="1"/>
  <c r="T396" i="1" s="1"/>
  <c r="R278" i="1"/>
  <c r="U278" i="1" s="1"/>
  <c r="F307" i="1"/>
  <c r="S307" i="1" s="1"/>
  <c r="G190" i="1"/>
  <c r="J190" i="1" s="1"/>
  <c r="M190" i="1" s="1"/>
  <c r="R424" i="1"/>
  <c r="U424" i="1" s="1"/>
  <c r="Q320" i="1"/>
  <c r="T320" i="1" s="1"/>
  <c r="Q164" i="1"/>
  <c r="T164" i="1" s="1"/>
  <c r="D36" i="4" s="1"/>
  <c r="Q60" i="1"/>
  <c r="T60" i="1" s="1"/>
  <c r="D13" i="4" s="1"/>
  <c r="Q114" i="1"/>
  <c r="T114" i="1" s="1"/>
  <c r="D45" i="4" s="1"/>
  <c r="Q316" i="1"/>
  <c r="T316" i="1" s="1"/>
  <c r="Q323" i="1"/>
  <c r="T323" i="1" s="1"/>
  <c r="R380" i="1"/>
  <c r="U380" i="1" s="1"/>
  <c r="Q279" i="1"/>
  <c r="T279" i="1" s="1"/>
  <c r="R71" i="1"/>
  <c r="U71" i="1" s="1"/>
  <c r="Q370" i="1"/>
  <c r="T370" i="1" s="1"/>
  <c r="Q118" i="1"/>
  <c r="T118" i="1" s="1"/>
  <c r="Q219" i="1"/>
  <c r="T219" i="1" s="1"/>
  <c r="Q313" i="1"/>
  <c r="T313" i="1" s="1"/>
  <c r="Q359" i="1"/>
  <c r="T359" i="1" s="1"/>
  <c r="R215" i="1"/>
  <c r="U215" i="1" s="1"/>
  <c r="R382" i="1"/>
  <c r="U382" i="1" s="1"/>
  <c r="R272" i="1"/>
  <c r="U272" i="1" s="1"/>
  <c r="Q331" i="1"/>
  <c r="T331" i="1" s="1"/>
  <c r="R318" i="1"/>
  <c r="U318" i="1" s="1"/>
  <c r="Q430" i="1"/>
  <c r="T430" i="1" s="1"/>
  <c r="G92" i="1"/>
  <c r="J92" i="1" s="1"/>
  <c r="M92" i="1" s="1"/>
  <c r="Q221" i="1"/>
  <c r="T221" i="1" s="1"/>
  <c r="H308" i="1"/>
  <c r="K308" i="1" s="1"/>
  <c r="Q319" i="1"/>
  <c r="T319" i="1" s="1"/>
  <c r="R406" i="1"/>
  <c r="U406" i="1" s="1"/>
  <c r="Q75" i="1"/>
  <c r="T75" i="1" s="1"/>
  <c r="Q382" i="1"/>
  <c r="T382" i="1" s="1"/>
  <c r="Q270" i="1"/>
  <c r="T270" i="1" s="1"/>
  <c r="R223" i="1"/>
  <c r="U223" i="1" s="1"/>
  <c r="Q269" i="1"/>
  <c r="T269" i="1" s="1"/>
  <c r="Q69" i="1"/>
  <c r="T69" i="1" s="1"/>
  <c r="Q176" i="1"/>
  <c r="T176" i="1" s="1"/>
  <c r="R398" i="1"/>
  <c r="U398" i="1" s="1"/>
  <c r="Q161" i="1"/>
  <c r="T161" i="1" s="1"/>
  <c r="Q267" i="1"/>
  <c r="Q223" i="1"/>
  <c r="T223" i="1" s="1"/>
  <c r="Q408" i="1"/>
  <c r="T408" i="1" s="1"/>
  <c r="Q329" i="1"/>
  <c r="T329" i="1" s="1"/>
  <c r="Q380" i="1"/>
  <c r="T380" i="1" s="1"/>
  <c r="Q113" i="1"/>
  <c r="T113" i="1" s="1"/>
  <c r="D35" i="4" s="1"/>
  <c r="F306" i="1"/>
  <c r="S306" i="1" s="1"/>
  <c r="R326" i="1"/>
  <c r="U326" i="1" s="1"/>
  <c r="Q343" i="1"/>
  <c r="T343" i="1" s="1"/>
  <c r="R66" i="1"/>
  <c r="U66" i="1" s="1"/>
  <c r="R320" i="1"/>
  <c r="U320" i="1" s="1"/>
  <c r="R377" i="1"/>
  <c r="U377" i="1" s="1"/>
  <c r="R220" i="1"/>
  <c r="U220" i="1" s="1"/>
  <c r="R313" i="1"/>
  <c r="U313" i="1" s="1"/>
  <c r="Q220" i="1"/>
  <c r="T220" i="1" s="1"/>
  <c r="Q264" i="1"/>
  <c r="T264" i="1" s="1"/>
  <c r="D28" i="4" s="1"/>
  <c r="Q70" i="1"/>
  <c r="T70" i="1" s="1"/>
  <c r="Q405" i="1"/>
  <c r="T405" i="1" s="1"/>
  <c r="Q128" i="1"/>
  <c r="T128" i="1" s="1"/>
  <c r="Q165" i="1"/>
  <c r="T165" i="1" s="1"/>
  <c r="D46" i="4" s="1"/>
  <c r="R111" i="1"/>
  <c r="U111" i="1" s="1"/>
  <c r="E14" i="4" s="1"/>
  <c r="Q432" i="1"/>
  <c r="T432" i="1" s="1"/>
  <c r="Q163" i="1"/>
  <c r="T163" i="1" s="1"/>
  <c r="D26" i="4" s="1"/>
  <c r="R416" i="1"/>
  <c r="U416" i="1" s="1"/>
  <c r="Q330" i="1"/>
  <c r="T330" i="1" s="1"/>
  <c r="G306" i="1"/>
  <c r="J306" i="1" s="1"/>
  <c r="M306" i="1" s="1"/>
  <c r="I197" i="1"/>
  <c r="L197" i="1" s="1"/>
  <c r="O197" i="1" s="1"/>
  <c r="Q328" i="1"/>
  <c r="T328" i="1" s="1"/>
  <c r="Q110" i="1"/>
  <c r="T110" i="1" s="1"/>
  <c r="Q376" i="1"/>
  <c r="T376" i="1" s="1"/>
  <c r="Q166" i="1"/>
  <c r="T166" i="1" s="1"/>
  <c r="R227" i="1"/>
  <c r="U227" i="1" s="1"/>
  <c r="Q341" i="1"/>
  <c r="T341" i="1" s="1"/>
  <c r="R359" i="1"/>
  <c r="U359" i="1" s="1"/>
  <c r="Q353" i="1"/>
  <c r="T353" i="1" s="1"/>
  <c r="Q397" i="1"/>
  <c r="T397" i="1" s="1"/>
  <c r="R431" i="1"/>
  <c r="U431" i="1" s="1"/>
  <c r="Q217" i="1"/>
  <c r="T217" i="1" s="1"/>
  <c r="Q421" i="1"/>
  <c r="T421" i="1" s="1"/>
  <c r="R118" i="1"/>
  <c r="U118" i="1" s="1"/>
  <c r="R344" i="1"/>
  <c r="U344" i="1" s="1"/>
  <c r="Q175" i="1"/>
  <c r="T175" i="1" s="1"/>
  <c r="R121" i="1"/>
  <c r="U121" i="1" s="1"/>
  <c r="Q321" i="1"/>
  <c r="T321" i="1" s="1"/>
  <c r="R117" i="1"/>
  <c r="U117" i="1" s="1"/>
  <c r="R423" i="1"/>
  <c r="U423" i="1" s="1"/>
  <c r="R405" i="1"/>
  <c r="U405" i="1" s="1"/>
  <c r="H306" i="1"/>
  <c r="K306" i="1" s="1"/>
  <c r="N306" i="1" s="1"/>
  <c r="R370" i="1"/>
  <c r="U370" i="1" s="1"/>
  <c r="R349" i="1"/>
  <c r="U349" i="1" s="1"/>
  <c r="R74" i="1"/>
  <c r="U74" i="1" s="1"/>
  <c r="Q366" i="1"/>
  <c r="T366" i="1" s="1"/>
  <c r="R351" i="1"/>
  <c r="U351" i="1" s="1"/>
  <c r="Q314" i="1"/>
  <c r="T314" i="1" s="1"/>
  <c r="R410" i="1"/>
  <c r="U410" i="1" s="1"/>
  <c r="R225" i="1"/>
  <c r="U225" i="1" s="1"/>
  <c r="Q371" i="1"/>
  <c r="T371" i="1" s="1"/>
  <c r="Q381" i="1"/>
  <c r="T381" i="1" s="1"/>
  <c r="Q227" i="1"/>
  <c r="T227" i="1" s="1"/>
  <c r="Q417" i="1"/>
  <c r="T417" i="1" s="1"/>
  <c r="R64" i="1"/>
  <c r="U64" i="1" s="1"/>
  <c r="Q401" i="1"/>
  <c r="T401" i="1" s="1"/>
  <c r="Q162" i="1"/>
  <c r="T162" i="1" s="1"/>
  <c r="D15" i="4" s="1"/>
  <c r="Q350" i="1"/>
  <c r="T350" i="1" s="1"/>
  <c r="R375" i="1"/>
  <c r="U375" i="1" s="1"/>
  <c r="R268" i="1"/>
  <c r="U268" i="1" s="1"/>
  <c r="R277" i="1"/>
  <c r="U277" i="1" s="1"/>
  <c r="R273" i="1"/>
  <c r="U273" i="1" s="1"/>
  <c r="R219" i="1"/>
  <c r="U219" i="1" s="1"/>
  <c r="Q77" i="1"/>
  <c r="T77" i="1" s="1"/>
  <c r="R76" i="1"/>
  <c r="U76" i="1" s="1"/>
  <c r="G45" i="1"/>
  <c r="J45" i="1" s="1"/>
  <c r="M45" i="1" s="1"/>
  <c r="H50" i="1"/>
  <c r="K50" i="1" s="1"/>
  <c r="N50" i="1" s="1"/>
  <c r="G200" i="1"/>
  <c r="J200" i="1" s="1"/>
  <c r="M200" i="1" s="1"/>
  <c r="R369" i="1"/>
  <c r="U369" i="1" s="1"/>
  <c r="R373" i="1"/>
  <c r="U373" i="1" s="1"/>
  <c r="R167" i="1"/>
  <c r="U167" i="1" s="1"/>
  <c r="R212" i="1"/>
  <c r="U212" i="1" s="1"/>
  <c r="E16" i="4" s="1"/>
  <c r="R72" i="1"/>
  <c r="U72" i="1" s="1"/>
  <c r="R266" i="1"/>
  <c r="U266" i="1" s="1"/>
  <c r="R401" i="1"/>
  <c r="U401" i="1" s="1"/>
  <c r="Q364" i="1"/>
  <c r="T364" i="1" s="1"/>
  <c r="R427" i="1"/>
  <c r="U427" i="1" s="1"/>
  <c r="R73" i="1"/>
  <c r="U73" i="1" s="1"/>
  <c r="Q61" i="1"/>
  <c r="T61" i="1" s="1"/>
  <c r="D24" i="4" s="1"/>
  <c r="Q409" i="1"/>
  <c r="T409" i="1" s="1"/>
  <c r="O407" i="1"/>
  <c r="R407" i="1" s="1"/>
  <c r="U407" i="1" s="1"/>
  <c r="R164" i="1"/>
  <c r="U164" i="1" s="1"/>
  <c r="I53" i="1"/>
  <c r="L53" i="1" s="1"/>
  <c r="O53" i="1" s="1"/>
  <c r="I50" i="1"/>
  <c r="L50" i="1" s="1"/>
  <c r="O50" i="1" s="1"/>
  <c r="F51" i="1"/>
  <c r="S51" i="1" s="1"/>
  <c r="F96" i="1"/>
  <c r="S96" i="1" s="1"/>
  <c r="H148" i="1"/>
  <c r="K148" i="1" s="1"/>
  <c r="N148" i="1" s="1"/>
  <c r="I204" i="1"/>
  <c r="L204" i="1" s="1"/>
  <c r="O204" i="1" s="1"/>
  <c r="H190" i="1"/>
  <c r="K190" i="1" s="1"/>
  <c r="N190" i="1" s="1"/>
  <c r="I199" i="1"/>
  <c r="L199" i="1" s="1"/>
  <c r="O199" i="1" s="1"/>
  <c r="Q268" i="1"/>
  <c r="T268" i="1" s="1"/>
  <c r="Q115" i="1"/>
  <c r="T115" i="1" s="1"/>
  <c r="R221" i="1"/>
  <c r="U221" i="1" s="1"/>
  <c r="O399" i="1"/>
  <c r="Q399" i="1" s="1"/>
  <c r="T399" i="1" s="1"/>
  <c r="R392" i="1"/>
  <c r="U392" i="1" s="1"/>
  <c r="Q400" i="1"/>
  <c r="T400" i="1" s="1"/>
  <c r="R353" i="1"/>
  <c r="U353" i="1" s="1"/>
  <c r="R422" i="1"/>
  <c r="U422" i="1" s="1"/>
  <c r="R354" i="1"/>
  <c r="U354" i="1" s="1"/>
  <c r="R123" i="1"/>
  <c r="U123" i="1" s="1"/>
  <c r="R226" i="1"/>
  <c r="U226" i="1" s="1"/>
  <c r="R161" i="1"/>
  <c r="U161" i="1" s="1"/>
  <c r="R432" i="1"/>
  <c r="U432" i="1" s="1"/>
  <c r="R397" i="1"/>
  <c r="U397" i="1" s="1"/>
  <c r="Q274" i="1"/>
  <c r="T274" i="1" s="1"/>
  <c r="R396" i="1"/>
  <c r="U396" i="1" s="1"/>
  <c r="R218" i="1"/>
  <c r="U218" i="1" s="1"/>
  <c r="R366" i="1"/>
  <c r="U366" i="1" s="1"/>
  <c r="R120" i="1"/>
  <c r="U120" i="1" s="1"/>
  <c r="R316" i="1"/>
  <c r="U316" i="1" s="1"/>
  <c r="N345" i="1"/>
  <c r="R345" i="1" s="1"/>
  <c r="U345" i="1" s="1"/>
  <c r="O425" i="1"/>
  <c r="Q425" i="1" s="1"/>
  <c r="T425" i="1" s="1"/>
  <c r="Q64" i="1"/>
  <c r="T64" i="1" s="1"/>
  <c r="R417" i="1"/>
  <c r="U417" i="1" s="1"/>
  <c r="Q344" i="1"/>
  <c r="T344" i="1" s="1"/>
  <c r="R395" i="1"/>
  <c r="U395" i="1" s="1"/>
  <c r="Q262" i="1"/>
  <c r="T262" i="1" s="1"/>
  <c r="Q318" i="1"/>
  <c r="T318" i="1" s="1"/>
  <c r="Q76" i="1"/>
  <c r="T76" i="1" s="1"/>
  <c r="R70" i="1"/>
  <c r="U70" i="1" s="1"/>
  <c r="R126" i="1"/>
  <c r="U126" i="1" s="1"/>
  <c r="G53" i="1"/>
  <c r="J53" i="1" s="1"/>
  <c r="M53" i="1" s="1"/>
  <c r="H47" i="1"/>
  <c r="K47" i="1" s="1"/>
  <c r="N47" i="1" s="1"/>
  <c r="I52" i="1"/>
  <c r="L52" i="1" s="1"/>
  <c r="O52" i="1" s="1"/>
  <c r="G204" i="1"/>
  <c r="J204" i="1" s="1"/>
  <c r="M204" i="1" s="1"/>
  <c r="R342" i="1"/>
  <c r="U342" i="1" s="1"/>
  <c r="Q433" i="1"/>
  <c r="T433" i="1" s="1"/>
  <c r="Q410" i="1"/>
  <c r="T410" i="1" s="1"/>
  <c r="R60" i="1"/>
  <c r="U60" i="1" s="1"/>
  <c r="E13" i="4" s="1"/>
  <c r="Q121" i="1"/>
  <c r="T121" i="1" s="1"/>
  <c r="Q65" i="1"/>
  <c r="T65" i="1" s="1"/>
  <c r="F50" i="1"/>
  <c r="S50" i="1" s="1"/>
  <c r="H151" i="1"/>
  <c r="K151" i="1" s="1"/>
  <c r="N151" i="1" s="1"/>
  <c r="I96" i="1"/>
  <c r="L96" i="1" s="1"/>
  <c r="O96" i="1" s="1"/>
  <c r="F92" i="1"/>
  <c r="S92" i="1" s="1"/>
  <c r="I191" i="1"/>
  <c r="L191" i="1" s="1"/>
  <c r="O191" i="1" s="1"/>
  <c r="Q191" i="1" s="1"/>
  <c r="T191" i="1" s="1"/>
  <c r="Q174" i="1"/>
  <c r="T174" i="1" s="1"/>
  <c r="R324" i="1"/>
  <c r="U324" i="1" s="1"/>
  <c r="Q224" i="1"/>
  <c r="T224" i="1" s="1"/>
  <c r="Q178" i="1"/>
  <c r="T178" i="1" s="1"/>
  <c r="R393" i="1"/>
  <c r="U393" i="1" s="1"/>
  <c r="R170" i="1"/>
  <c r="U170" i="1" s="1"/>
  <c r="O67" i="1"/>
  <c r="R67" i="1" s="1"/>
  <c r="U67" i="1" s="1"/>
  <c r="Q398" i="1"/>
  <c r="T398" i="1" s="1"/>
  <c r="Q327" i="1"/>
  <c r="T327" i="1" s="1"/>
  <c r="R166" i="1"/>
  <c r="U166" i="1" s="1"/>
  <c r="R275" i="1"/>
  <c r="U275" i="1" s="1"/>
  <c r="N415" i="1"/>
  <c r="Q358" i="1"/>
  <c r="T358" i="1" s="1"/>
  <c r="N172" i="1"/>
  <c r="R172" i="1" s="1"/>
  <c r="U172" i="1" s="1"/>
  <c r="R374" i="1"/>
  <c r="U374" i="1" s="1"/>
  <c r="R348" i="1"/>
  <c r="U348" i="1" s="1"/>
  <c r="R347" i="1"/>
  <c r="U347" i="1" s="1"/>
  <c r="H92" i="1"/>
  <c r="K92" i="1" s="1"/>
  <c r="N92" i="1" s="1"/>
  <c r="Q374" i="1"/>
  <c r="T374" i="1" s="1"/>
  <c r="R114" i="1"/>
  <c r="U114" i="1" s="1"/>
  <c r="R357" i="1"/>
  <c r="U357" i="1" s="1"/>
  <c r="R69" i="1"/>
  <c r="U69" i="1" s="1"/>
  <c r="Q119" i="1"/>
  <c r="T119" i="1" s="1"/>
  <c r="R214" i="1"/>
  <c r="U214" i="1" s="1"/>
  <c r="Q127" i="1"/>
  <c r="T127" i="1" s="1"/>
  <c r="Q347" i="1"/>
  <c r="T347" i="1" s="1"/>
  <c r="Q431" i="1"/>
  <c r="T431" i="1" s="1"/>
  <c r="Q419" i="1"/>
  <c r="T419" i="1" s="1"/>
  <c r="R419" i="1"/>
  <c r="U419" i="1" s="1"/>
  <c r="I196" i="1"/>
  <c r="L196" i="1" s="1"/>
  <c r="O196" i="1" s="1"/>
  <c r="R402" i="1"/>
  <c r="U402" i="1" s="1"/>
  <c r="H52" i="1"/>
  <c r="K52" i="1" s="1"/>
  <c r="N52" i="1" s="1"/>
  <c r="R63" i="1"/>
  <c r="U63" i="1" s="1"/>
  <c r="R229" i="1"/>
  <c r="U229" i="1" s="1"/>
  <c r="E48" i="4"/>
  <c r="E38" i="4"/>
  <c r="R112" i="1"/>
  <c r="U112" i="1" s="1"/>
  <c r="E25" i="4" s="1"/>
  <c r="Q212" i="1"/>
  <c r="T212" i="1" s="1"/>
  <c r="D16" i="4" s="1"/>
  <c r="Q356" i="1"/>
  <c r="T356" i="1" s="1"/>
  <c r="N222" i="1"/>
  <c r="R113" i="1"/>
  <c r="U113" i="1" s="1"/>
  <c r="Q68" i="1"/>
  <c r="T68" i="1" s="1"/>
  <c r="Q420" i="1"/>
  <c r="T420" i="1" s="1"/>
  <c r="Q326" i="1"/>
  <c r="T326" i="1" s="1"/>
  <c r="R341" i="1"/>
  <c r="U341" i="1" s="1"/>
  <c r="Q427" i="1"/>
  <c r="T427" i="1" s="1"/>
  <c r="R364" i="1"/>
  <c r="U364" i="1" s="1"/>
  <c r="Q214" i="1"/>
  <c r="T214" i="1" s="1"/>
  <c r="D37" i="4" s="1"/>
  <c r="N177" i="1"/>
  <c r="R177" i="1" s="1"/>
  <c r="U177" i="1" s="1"/>
  <c r="R173" i="1"/>
  <c r="U173" i="1" s="1"/>
  <c r="R213" i="1"/>
  <c r="U213" i="1" s="1"/>
  <c r="E27" i="4" s="1"/>
  <c r="O429" i="1"/>
  <c r="F43" i="1"/>
  <c r="S43" i="1" s="1"/>
  <c r="H245" i="1"/>
  <c r="K245" i="1" s="1"/>
  <c r="N245" i="1" s="1"/>
  <c r="F148" i="1"/>
  <c r="S148" i="1" s="1"/>
  <c r="Q402" i="1"/>
  <c r="T402" i="1" s="1"/>
  <c r="N271" i="1"/>
  <c r="F53" i="1"/>
  <c r="S53" i="1" s="1"/>
  <c r="G43" i="1"/>
  <c r="J43" i="1" s="1"/>
  <c r="M43" i="1" s="1"/>
  <c r="G40" i="1"/>
  <c r="J40" i="1" s="1"/>
  <c r="M40" i="1" s="1"/>
  <c r="I47" i="1"/>
  <c r="L47" i="1" s="1"/>
  <c r="O47" i="1" s="1"/>
  <c r="F52" i="1"/>
  <c r="S52" i="1" s="1"/>
  <c r="I148" i="1"/>
  <c r="L148" i="1" s="1"/>
  <c r="O148" i="1" s="1"/>
  <c r="F196" i="1"/>
  <c r="S196" i="1" s="1"/>
  <c r="G203" i="1"/>
  <c r="J203" i="1" s="1"/>
  <c r="M203" i="1" s="1"/>
  <c r="G189" i="1"/>
  <c r="J189" i="1" s="1"/>
  <c r="M189" i="1" s="1"/>
  <c r="Q325" i="1"/>
  <c r="T325" i="1" s="1"/>
  <c r="Q277" i="1"/>
  <c r="T277" i="1" s="1"/>
  <c r="R279" i="1"/>
  <c r="U279" i="1" s="1"/>
  <c r="R263" i="1"/>
  <c r="U263" i="1" s="1"/>
  <c r="E17" i="4" s="1"/>
  <c r="R346" i="1"/>
  <c r="U346" i="1" s="1"/>
  <c r="Q406" i="1"/>
  <c r="T406" i="1" s="1"/>
  <c r="R128" i="1"/>
  <c r="U128" i="1" s="1"/>
  <c r="R356" i="1"/>
  <c r="U356" i="1" s="1"/>
  <c r="R280" i="1"/>
  <c r="U280" i="1" s="1"/>
  <c r="R371" i="1"/>
  <c r="U371" i="1" s="1"/>
  <c r="R403" i="1"/>
  <c r="U403" i="1" s="1"/>
  <c r="R269" i="1"/>
  <c r="U269" i="1" s="1"/>
  <c r="Q72" i="1"/>
  <c r="T72" i="1" s="1"/>
  <c r="R378" i="1"/>
  <c r="U378" i="1" s="1"/>
  <c r="R211" i="1"/>
  <c r="U211" i="1" s="1"/>
  <c r="R165" i="1"/>
  <c r="U165" i="1" s="1"/>
  <c r="Q379" i="1"/>
  <c r="T379" i="1" s="1"/>
  <c r="R379" i="1"/>
  <c r="U379" i="1" s="1"/>
  <c r="Q169" i="1"/>
  <c r="T169" i="1" s="1"/>
  <c r="R321" i="1"/>
  <c r="U321" i="1" s="1"/>
  <c r="R319" i="1"/>
  <c r="U319" i="1" s="1"/>
  <c r="R75" i="1"/>
  <c r="U75" i="1" s="1"/>
  <c r="R365" i="1"/>
  <c r="U365" i="1" s="1"/>
  <c r="R408" i="1"/>
  <c r="U408" i="1" s="1"/>
  <c r="R125" i="1"/>
  <c r="U125" i="1" s="1"/>
  <c r="Q367" i="1"/>
  <c r="T367" i="1" s="1"/>
  <c r="R343" i="1"/>
  <c r="U343" i="1" s="1"/>
  <c r="H43" i="1"/>
  <c r="K43" i="1" s="1"/>
  <c r="N43" i="1" s="1"/>
  <c r="I40" i="1"/>
  <c r="L40" i="1" s="1"/>
  <c r="O40" i="1" s="1"/>
  <c r="G47" i="1"/>
  <c r="J47" i="1" s="1"/>
  <c r="M47" i="1" s="1"/>
  <c r="H196" i="1"/>
  <c r="K196" i="1" s="1"/>
  <c r="N196" i="1" s="1"/>
  <c r="H203" i="1"/>
  <c r="K203" i="1" s="1"/>
  <c r="N203" i="1" s="1"/>
  <c r="Q216" i="1"/>
  <c r="T216" i="1" s="1"/>
  <c r="H189" i="1"/>
  <c r="K189" i="1" s="1"/>
  <c r="N189" i="1" s="1"/>
  <c r="N228" i="1"/>
  <c r="R228" i="1" s="1"/>
  <c r="U228" i="1" s="1"/>
  <c r="Q263" i="1"/>
  <c r="T263" i="1" s="1"/>
  <c r="D17" i="4" s="1"/>
  <c r="R276" i="1"/>
  <c r="U276" i="1" s="1"/>
  <c r="Q278" i="1"/>
  <c r="T278" i="1" s="1"/>
  <c r="Q346" i="1"/>
  <c r="T346" i="1" s="1"/>
  <c r="Q378" i="1"/>
  <c r="T378" i="1" s="1"/>
  <c r="Q122" i="1"/>
  <c r="T122" i="1" s="1"/>
  <c r="Q416" i="1"/>
  <c r="T416" i="1" s="1"/>
  <c r="I147" i="1"/>
  <c r="L147" i="1" s="1"/>
  <c r="O147" i="1" s="1"/>
  <c r="H104" i="1"/>
  <c r="K104" i="1" s="1"/>
  <c r="N104" i="1" s="1"/>
  <c r="H307" i="1"/>
  <c r="K307" i="1" s="1"/>
  <c r="N307" i="1" s="1"/>
  <c r="I307" i="1"/>
  <c r="L307" i="1" s="1"/>
  <c r="O307" i="1" s="1"/>
  <c r="I252" i="1"/>
  <c r="L252" i="1" s="1"/>
  <c r="O252" i="1" s="1"/>
  <c r="F295" i="1"/>
  <c r="S295" i="1" s="1"/>
  <c r="F147" i="1"/>
  <c r="S147" i="1" s="1"/>
  <c r="F104" i="1"/>
  <c r="S104" i="1" s="1"/>
  <c r="I295" i="1"/>
  <c r="L295" i="1" s="1"/>
  <c r="O295" i="1" s="1"/>
  <c r="G147" i="1"/>
  <c r="J147" i="1" s="1"/>
  <c r="M147" i="1" s="1"/>
  <c r="G104" i="1"/>
  <c r="J104" i="1" s="1"/>
  <c r="M104" i="1" s="1"/>
  <c r="H252" i="1"/>
  <c r="K252" i="1" s="1"/>
  <c r="N252" i="1" s="1"/>
  <c r="G252" i="1"/>
  <c r="J252" i="1" s="1"/>
  <c r="M252" i="1" s="1"/>
  <c r="H54" i="1"/>
  <c r="K54" i="1" s="1"/>
  <c r="N54" i="1" s="1"/>
  <c r="G42" i="1"/>
  <c r="J42" i="1" s="1"/>
  <c r="M42" i="1" s="1"/>
  <c r="H256" i="1"/>
  <c r="K256" i="1" s="1"/>
  <c r="N256" i="1" s="1"/>
  <c r="H197" i="1"/>
  <c r="K197" i="1" s="1"/>
  <c r="N197" i="1" s="1"/>
  <c r="G197" i="1"/>
  <c r="J197" i="1" s="1"/>
  <c r="M197" i="1" s="1"/>
  <c r="G256" i="1"/>
  <c r="J256" i="1" s="1"/>
  <c r="M256" i="1" s="1"/>
  <c r="F256" i="1"/>
  <c r="S256" i="1" s="1"/>
  <c r="I42" i="1"/>
  <c r="L42" i="1" s="1"/>
  <c r="O42" i="1" s="1"/>
  <c r="F42" i="1"/>
  <c r="S42" i="1" s="1"/>
  <c r="I205" i="1"/>
  <c r="L205" i="1" s="1"/>
  <c r="O205" i="1" s="1"/>
  <c r="I151" i="1"/>
  <c r="L151" i="1" s="1"/>
  <c r="O151" i="1" s="1"/>
  <c r="I45" i="1"/>
  <c r="L45" i="1" s="1"/>
  <c r="O45" i="1" s="1"/>
  <c r="F101" i="1"/>
  <c r="S101" i="1" s="1"/>
  <c r="H141" i="1"/>
  <c r="K141" i="1" s="1"/>
  <c r="N141" i="1" s="1"/>
  <c r="H200" i="1"/>
  <c r="K200" i="1" s="1"/>
  <c r="N200" i="1" s="1"/>
  <c r="H199" i="1"/>
  <c r="K199" i="1" s="1"/>
  <c r="N199" i="1" s="1"/>
  <c r="H38" i="1"/>
  <c r="K38" i="1" s="1"/>
  <c r="N38" i="1" s="1"/>
  <c r="G101" i="1"/>
  <c r="J101" i="1" s="1"/>
  <c r="M101" i="1" s="1"/>
  <c r="H253" i="1"/>
  <c r="K253" i="1" s="1"/>
  <c r="N253" i="1" s="1"/>
  <c r="G38" i="1"/>
  <c r="J38" i="1" s="1"/>
  <c r="M38" i="1" s="1"/>
  <c r="G253" i="1"/>
  <c r="J253" i="1" s="1"/>
  <c r="M253" i="1" s="1"/>
  <c r="I38" i="1"/>
  <c r="L38" i="1" s="1"/>
  <c r="O38" i="1" s="1"/>
  <c r="F103" i="1"/>
  <c r="S103" i="1" s="1"/>
  <c r="F90" i="1"/>
  <c r="S90" i="1" s="1"/>
  <c r="F151" i="1"/>
  <c r="S151" i="1" s="1"/>
  <c r="H103" i="1"/>
  <c r="K103" i="1" s="1"/>
  <c r="N103" i="1" s="1"/>
  <c r="F253" i="1"/>
  <c r="S253" i="1" s="1"/>
  <c r="I90" i="1"/>
  <c r="L90" i="1" s="1"/>
  <c r="O90" i="1" s="1"/>
  <c r="H41" i="1"/>
  <c r="K41" i="1" s="1"/>
  <c r="N41" i="1" s="1"/>
  <c r="G103" i="1"/>
  <c r="J103" i="1" s="1"/>
  <c r="M103" i="1" s="1"/>
  <c r="G54" i="1"/>
  <c r="J54" i="1" s="1"/>
  <c r="M54" i="1" s="1"/>
  <c r="I54" i="1"/>
  <c r="L54" i="1" s="1"/>
  <c r="O54" i="1" s="1"/>
  <c r="F194" i="1"/>
  <c r="S194" i="1" s="1"/>
  <c r="I46" i="1"/>
  <c r="L46" i="1" s="1"/>
  <c r="O46" i="1" s="1"/>
  <c r="H194" i="1"/>
  <c r="K194" i="1" s="1"/>
  <c r="N194" i="1" s="1"/>
  <c r="G194" i="1"/>
  <c r="J194" i="1" s="1"/>
  <c r="M194" i="1" s="1"/>
  <c r="I257" i="1"/>
  <c r="L257" i="1" s="1"/>
  <c r="O257" i="1" s="1"/>
  <c r="H146" i="1"/>
  <c r="K146" i="1" s="1"/>
  <c r="N146" i="1" s="1"/>
  <c r="F240" i="1"/>
  <c r="S240" i="1" s="1"/>
  <c r="F153" i="1"/>
  <c r="S153" i="1" s="1"/>
  <c r="F46" i="1"/>
  <c r="S46" i="1" s="1"/>
  <c r="G302" i="1"/>
  <c r="J302" i="1" s="1"/>
  <c r="M302" i="1" s="1"/>
  <c r="H300" i="1"/>
  <c r="K300" i="1" s="1"/>
  <c r="N300" i="1" s="1"/>
  <c r="I193" i="1"/>
  <c r="L193" i="1" s="1"/>
  <c r="O193" i="1" s="1"/>
  <c r="I300" i="1"/>
  <c r="L300" i="1" s="1"/>
  <c r="O300" i="1" s="1"/>
  <c r="F294" i="1"/>
  <c r="S294" i="1" s="1"/>
  <c r="H302" i="1"/>
  <c r="K302" i="1" s="1"/>
  <c r="N302" i="1" s="1"/>
  <c r="I97" i="1"/>
  <c r="L97" i="1" s="1"/>
  <c r="O97" i="1" s="1"/>
  <c r="H193" i="1"/>
  <c r="K193" i="1" s="1"/>
  <c r="N193" i="1" s="1"/>
  <c r="G195" i="1"/>
  <c r="J195" i="1" s="1"/>
  <c r="M195" i="1" s="1"/>
  <c r="I44" i="1"/>
  <c r="L44" i="1" s="1"/>
  <c r="O44" i="1" s="1"/>
  <c r="F44" i="1"/>
  <c r="S44" i="1" s="1"/>
  <c r="I302" i="1"/>
  <c r="L302" i="1" s="1"/>
  <c r="O302" i="1" s="1"/>
  <c r="H257" i="1"/>
  <c r="K257" i="1" s="1"/>
  <c r="N257" i="1" s="1"/>
  <c r="F193" i="1"/>
  <c r="S193" i="1" s="1"/>
  <c r="H294" i="1"/>
  <c r="K294" i="1" s="1"/>
  <c r="N294" i="1" s="1"/>
  <c r="G294" i="1"/>
  <c r="J294" i="1" s="1"/>
  <c r="M294" i="1" s="1"/>
  <c r="H101" i="1"/>
  <c r="K101" i="1" s="1"/>
  <c r="N101" i="1" s="1"/>
  <c r="F202" i="1"/>
  <c r="S202" i="1" s="1"/>
  <c r="H46" i="1"/>
  <c r="K46" i="1" s="1"/>
  <c r="N46" i="1" s="1"/>
  <c r="F249" i="1"/>
  <c r="S249" i="1" s="1"/>
  <c r="I88" i="1"/>
  <c r="L88" i="1" s="1"/>
  <c r="O88" i="1" s="1"/>
  <c r="G44" i="1"/>
  <c r="J44" i="1" s="1"/>
  <c r="M44" i="1" s="1"/>
  <c r="I139" i="1"/>
  <c r="L139" i="1" s="1"/>
  <c r="O139" i="1" s="1"/>
  <c r="H140" i="1"/>
  <c r="K140" i="1" s="1"/>
  <c r="N140" i="1" s="1"/>
  <c r="F141" i="1"/>
  <c r="S141" i="1" s="1"/>
  <c r="H198" i="1"/>
  <c r="K198" i="1" s="1"/>
  <c r="N198" i="1" s="1"/>
  <c r="H142" i="1"/>
  <c r="K142" i="1" s="1"/>
  <c r="N142" i="1" s="1"/>
  <c r="F88" i="1"/>
  <c r="S88" i="1" s="1"/>
  <c r="I48" i="1"/>
  <c r="L48" i="1" s="1"/>
  <c r="O48" i="1" s="1"/>
  <c r="F140" i="1"/>
  <c r="S140" i="1" s="1"/>
  <c r="I198" i="1"/>
  <c r="L198" i="1" s="1"/>
  <c r="O198" i="1" s="1"/>
  <c r="G88" i="1"/>
  <c r="J88" i="1" s="1"/>
  <c r="M88" i="1" s="1"/>
  <c r="H48" i="1"/>
  <c r="K48" i="1" s="1"/>
  <c r="N48" i="1" s="1"/>
  <c r="G140" i="1"/>
  <c r="J140" i="1" s="1"/>
  <c r="M140" i="1" s="1"/>
  <c r="G198" i="1"/>
  <c r="J198" i="1" s="1"/>
  <c r="M198" i="1" s="1"/>
  <c r="G153" i="1"/>
  <c r="J153" i="1" s="1"/>
  <c r="M153" i="1" s="1"/>
  <c r="G48" i="1"/>
  <c r="J48" i="1" s="1"/>
  <c r="M48" i="1" s="1"/>
  <c r="F146" i="1"/>
  <c r="S146" i="1" s="1"/>
  <c r="H205" i="1"/>
  <c r="K205" i="1" s="1"/>
  <c r="N205" i="1" s="1"/>
  <c r="G250" i="1"/>
  <c r="J250" i="1" s="1"/>
  <c r="M250" i="1" s="1"/>
  <c r="I250" i="1"/>
  <c r="L250" i="1" s="1"/>
  <c r="O250" i="1" s="1"/>
  <c r="F250" i="1"/>
  <c r="S250" i="1" s="1"/>
  <c r="I142" i="1"/>
  <c r="L142" i="1" s="1"/>
  <c r="O142" i="1" s="1"/>
  <c r="G142" i="1"/>
  <c r="J142" i="1" s="1"/>
  <c r="M142" i="1" s="1"/>
  <c r="F244" i="1"/>
  <c r="S244" i="1" s="1"/>
  <c r="I244" i="1"/>
  <c r="L244" i="1" s="1"/>
  <c r="O244" i="1" s="1"/>
  <c r="G244" i="1"/>
  <c r="J244" i="1" s="1"/>
  <c r="M244" i="1" s="1"/>
  <c r="H192" i="1"/>
  <c r="K192" i="1" s="1"/>
  <c r="N192" i="1" s="1"/>
  <c r="I192" i="1"/>
  <c r="L192" i="1" s="1"/>
  <c r="O192" i="1" s="1"/>
  <c r="G240" i="1"/>
  <c r="J240" i="1" s="1"/>
  <c r="M240" i="1" s="1"/>
  <c r="I240" i="1"/>
  <c r="L240" i="1" s="1"/>
  <c r="O240" i="1" s="1"/>
  <c r="G241" i="1"/>
  <c r="J241" i="1" s="1"/>
  <c r="M241" i="1" s="1"/>
  <c r="F241" i="1"/>
  <c r="S241" i="1" s="1"/>
  <c r="I241" i="1"/>
  <c r="L241" i="1" s="1"/>
  <c r="O241" i="1" s="1"/>
  <c r="G192" i="1"/>
  <c r="J192" i="1" s="1"/>
  <c r="M192" i="1" s="1"/>
  <c r="G95" i="1"/>
  <c r="J95" i="1" s="1"/>
  <c r="M95" i="1" s="1"/>
  <c r="F95" i="1"/>
  <c r="S95" i="1" s="1"/>
  <c r="I95" i="1"/>
  <c r="L95" i="1" s="1"/>
  <c r="O95" i="1" s="1"/>
  <c r="F293" i="1"/>
  <c r="S293" i="1" s="1"/>
  <c r="I293" i="1"/>
  <c r="L293" i="1" s="1"/>
  <c r="O293" i="1" s="1"/>
  <c r="F99" i="1"/>
  <c r="S99" i="1" s="1"/>
  <c r="G99" i="1"/>
  <c r="J99" i="1" s="1"/>
  <c r="M99" i="1" s="1"/>
  <c r="I99" i="1"/>
  <c r="L99" i="1" s="1"/>
  <c r="O99" i="1" s="1"/>
  <c r="F152" i="1"/>
  <c r="S152" i="1" s="1"/>
  <c r="G152" i="1"/>
  <c r="J152" i="1" s="1"/>
  <c r="M152" i="1" s="1"/>
  <c r="G97" i="1"/>
  <c r="J97" i="1" s="1"/>
  <c r="M97" i="1" s="1"/>
  <c r="F97" i="1"/>
  <c r="S97" i="1" s="1"/>
  <c r="I248" i="1"/>
  <c r="L248" i="1" s="1"/>
  <c r="O248" i="1" s="1"/>
  <c r="G248" i="1"/>
  <c r="J248" i="1" s="1"/>
  <c r="M248" i="1" s="1"/>
  <c r="F248" i="1"/>
  <c r="S248" i="1" s="1"/>
  <c r="F245" i="1"/>
  <c r="S245" i="1" s="1"/>
  <c r="G245" i="1"/>
  <c r="J245" i="1" s="1"/>
  <c r="M245" i="1" s="1"/>
  <c r="H202" i="1"/>
  <c r="K202" i="1" s="1"/>
  <c r="N202" i="1" s="1"/>
  <c r="I291" i="1"/>
  <c r="L291" i="1" s="1"/>
  <c r="O291" i="1" s="1"/>
  <c r="F291" i="1"/>
  <c r="S291" i="1" s="1"/>
  <c r="G291" i="1"/>
  <c r="J291" i="1" s="1"/>
  <c r="M291" i="1" s="1"/>
  <c r="I202" i="1"/>
  <c r="L202" i="1" s="1"/>
  <c r="O202" i="1" s="1"/>
  <c r="G293" i="1"/>
  <c r="J293" i="1" s="1"/>
  <c r="M293" i="1" s="1"/>
  <c r="F305" i="1"/>
  <c r="S305" i="1" s="1"/>
  <c r="G305" i="1"/>
  <c r="J305" i="1" s="1"/>
  <c r="M305" i="1" s="1"/>
  <c r="G144" i="1"/>
  <c r="J144" i="1" s="1"/>
  <c r="M144" i="1" s="1"/>
  <c r="F144" i="1"/>
  <c r="S144" i="1" s="1"/>
  <c r="I144" i="1"/>
  <c r="L144" i="1" s="1"/>
  <c r="O144" i="1" s="1"/>
  <c r="H195" i="1"/>
  <c r="K195" i="1" s="1"/>
  <c r="N195" i="1" s="1"/>
  <c r="G89" i="1"/>
  <c r="J89" i="1" s="1"/>
  <c r="M89" i="1" s="1"/>
  <c r="F89" i="1"/>
  <c r="S89" i="1" s="1"/>
  <c r="I156" i="1"/>
  <c r="L156" i="1" s="1"/>
  <c r="O156" i="1" s="1"/>
  <c r="F156" i="1"/>
  <c r="S156" i="1" s="1"/>
  <c r="G156" i="1"/>
  <c r="J156" i="1" s="1"/>
  <c r="M156" i="1" s="1"/>
  <c r="I206" i="1"/>
  <c r="L206" i="1" s="1"/>
  <c r="O206" i="1" s="1"/>
  <c r="R206" i="1" s="1"/>
  <c r="H201" i="1"/>
  <c r="K201" i="1" s="1"/>
  <c r="N201" i="1" s="1"/>
  <c r="Q201" i="1" s="1"/>
  <c r="F195" i="1"/>
  <c r="S195" i="1" s="1"/>
  <c r="G146" i="1"/>
  <c r="J146" i="1" s="1"/>
  <c r="M146" i="1" s="1"/>
  <c r="R146" i="1" s="1"/>
  <c r="F206" i="1"/>
  <c r="S206" i="1" s="1"/>
  <c r="F201" i="1"/>
  <c r="S201" i="1" s="1"/>
  <c r="G145" i="1"/>
  <c r="J145" i="1" s="1"/>
  <c r="M145" i="1" s="1"/>
  <c r="I145" i="1"/>
  <c r="L145" i="1" s="1"/>
  <c r="O145" i="1" s="1"/>
  <c r="F145" i="1"/>
  <c r="S145" i="1" s="1"/>
  <c r="G242" i="1"/>
  <c r="J242" i="1" s="1"/>
  <c r="M242" i="1" s="1"/>
  <c r="I242" i="1"/>
  <c r="L242" i="1" s="1"/>
  <c r="O242" i="1" s="1"/>
  <c r="F242" i="1"/>
  <c r="S242" i="1" s="1"/>
  <c r="F297" i="1"/>
  <c r="S297" i="1" s="1"/>
  <c r="I297" i="1"/>
  <c r="L297" i="1" s="1"/>
  <c r="O297" i="1" s="1"/>
  <c r="G297" i="1"/>
  <c r="J297" i="1" s="1"/>
  <c r="M297" i="1" s="1"/>
  <c r="G257" i="1"/>
  <c r="J257" i="1" s="1"/>
  <c r="M257" i="1" s="1"/>
  <c r="F105" i="1"/>
  <c r="S105" i="1" s="1"/>
  <c r="G105" i="1"/>
  <c r="J105" i="1" s="1"/>
  <c r="M105" i="1" s="1"/>
  <c r="I105" i="1"/>
  <c r="L105" i="1" s="1"/>
  <c r="O105" i="1" s="1"/>
  <c r="F93" i="1"/>
  <c r="S93" i="1" s="1"/>
  <c r="I93" i="1"/>
  <c r="L93" i="1" s="1"/>
  <c r="O93" i="1" s="1"/>
  <c r="G93" i="1"/>
  <c r="J93" i="1" s="1"/>
  <c r="M93" i="1" s="1"/>
  <c r="G304" i="1"/>
  <c r="J304" i="1" s="1"/>
  <c r="M304" i="1" s="1"/>
  <c r="I304" i="1"/>
  <c r="L304" i="1" s="1"/>
  <c r="O304" i="1" s="1"/>
  <c r="F304" i="1"/>
  <c r="S304" i="1" s="1"/>
  <c r="H153" i="1"/>
  <c r="K153" i="1" s="1"/>
  <c r="N153" i="1" s="1"/>
  <c r="I149" i="1"/>
  <c r="L149" i="1" s="1"/>
  <c r="O149" i="1" s="1"/>
  <c r="G149" i="1"/>
  <c r="J149" i="1" s="1"/>
  <c r="M149" i="1" s="1"/>
  <c r="F149" i="1"/>
  <c r="S149" i="1" s="1"/>
  <c r="F150" i="1"/>
  <c r="S150" i="1" s="1"/>
  <c r="I150" i="1"/>
  <c r="L150" i="1" s="1"/>
  <c r="O150" i="1" s="1"/>
  <c r="G150" i="1"/>
  <c r="J150" i="1" s="1"/>
  <c r="M150" i="1" s="1"/>
  <c r="G205" i="1"/>
  <c r="J205" i="1" s="1"/>
  <c r="M205" i="1" s="1"/>
  <c r="F299" i="1"/>
  <c r="S299" i="1" s="1"/>
  <c r="I299" i="1"/>
  <c r="L299" i="1" s="1"/>
  <c r="O299" i="1" s="1"/>
  <c r="F139" i="1"/>
  <c r="S139" i="1" s="1"/>
  <c r="F300" i="1"/>
  <c r="S300" i="1" s="1"/>
  <c r="F308" i="1"/>
  <c r="S308" i="1" s="1"/>
  <c r="G308" i="1"/>
  <c r="J308" i="1" s="1"/>
  <c r="M308" i="1" s="1"/>
  <c r="G254" i="1"/>
  <c r="J254" i="1" s="1"/>
  <c r="M254" i="1" s="1"/>
  <c r="F254" i="1"/>
  <c r="S254" i="1" s="1"/>
  <c r="I254" i="1"/>
  <c r="L254" i="1" s="1"/>
  <c r="O254" i="1" s="1"/>
  <c r="G139" i="1"/>
  <c r="J139" i="1" s="1"/>
  <c r="M139" i="1" s="1"/>
  <c r="I89" i="1"/>
  <c r="L89" i="1" s="1"/>
  <c r="O89" i="1" s="1"/>
  <c r="H204" i="1"/>
  <c r="K204" i="1" s="1"/>
  <c r="N204" i="1" s="1"/>
  <c r="G246" i="1"/>
  <c r="J246" i="1" s="1"/>
  <c r="M246" i="1" s="1"/>
  <c r="I246" i="1"/>
  <c r="L246" i="1" s="1"/>
  <c r="O246" i="1" s="1"/>
  <c r="F246" i="1"/>
  <c r="S246" i="1" s="1"/>
  <c r="G39" i="1"/>
  <c r="J39" i="1" s="1"/>
  <c r="M39" i="1" s="1"/>
  <c r="F39" i="1"/>
  <c r="S39" i="1" s="1"/>
  <c r="I39" i="1"/>
  <c r="L39" i="1" s="1"/>
  <c r="O39" i="1" s="1"/>
  <c r="F301" i="1"/>
  <c r="S301" i="1" s="1"/>
  <c r="G301" i="1"/>
  <c r="J301" i="1" s="1"/>
  <c r="M301" i="1" s="1"/>
  <c r="I301" i="1"/>
  <c r="L301" i="1" s="1"/>
  <c r="O301" i="1" s="1"/>
  <c r="H188" i="1"/>
  <c r="K188" i="1" s="1"/>
  <c r="N188" i="1" s="1"/>
  <c r="G188" i="1"/>
  <c r="J188" i="1" s="1"/>
  <c r="M188" i="1" s="1"/>
  <c r="I188" i="1"/>
  <c r="L188" i="1" s="1"/>
  <c r="O188" i="1" s="1"/>
  <c r="G138" i="1"/>
  <c r="J138" i="1" s="1"/>
  <c r="M138" i="1" s="1"/>
  <c r="F138" i="1"/>
  <c r="S138" i="1" s="1"/>
  <c r="H138" i="1"/>
  <c r="K138" i="1" s="1"/>
  <c r="N138" i="1" s="1"/>
  <c r="I138" i="1"/>
  <c r="L138" i="1" s="1"/>
  <c r="O138" i="1" s="1"/>
  <c r="F87" i="1"/>
  <c r="S87" i="1" s="1"/>
  <c r="G87" i="1"/>
  <c r="J87" i="1" s="1"/>
  <c r="M87" i="1" s="1"/>
  <c r="I87" i="1"/>
  <c r="L87" i="1" s="1"/>
  <c r="O87" i="1" s="1"/>
  <c r="H36" i="1"/>
  <c r="K36" i="1" s="1"/>
  <c r="N36" i="1" s="1"/>
  <c r="G36" i="1"/>
  <c r="J36" i="1" s="1"/>
  <c r="M36" i="1" s="1"/>
  <c r="F36" i="1"/>
  <c r="S36" i="1" s="1"/>
  <c r="R249" i="1"/>
  <c r="O305" i="1"/>
  <c r="N152" i="1"/>
  <c r="N240" i="1"/>
  <c r="N144" i="1"/>
  <c r="N89" i="1"/>
  <c r="N97" i="1"/>
  <c r="N105" i="1"/>
  <c r="N99" i="1"/>
  <c r="N93" i="1"/>
  <c r="N102" i="1"/>
  <c r="R102" i="1" s="1"/>
  <c r="U102" i="1" s="1"/>
  <c r="N87" i="1"/>
  <c r="N95" i="1"/>
  <c r="N88" i="1"/>
  <c r="N304" i="1"/>
  <c r="N308" i="1"/>
  <c r="N297" i="1"/>
  <c r="N305" i="1"/>
  <c r="N299" i="1"/>
  <c r="N298" i="1"/>
  <c r="N291" i="1"/>
  <c r="N293" i="1"/>
  <c r="N301" i="1"/>
  <c r="Q148" i="1"/>
  <c r="T148" i="1" s="1"/>
  <c r="Q249" i="1"/>
  <c r="F290" i="1"/>
  <c r="S290" i="1" s="1"/>
  <c r="G290" i="1"/>
  <c r="J290" i="1" s="1"/>
  <c r="M290" i="1" s="1"/>
  <c r="H290" i="1"/>
  <c r="K290" i="1" s="1"/>
  <c r="N290" i="1" s="1"/>
  <c r="R141" i="1"/>
  <c r="G41" i="1"/>
  <c r="J41" i="1" s="1"/>
  <c r="M41" i="1" s="1"/>
  <c r="Q141" i="1"/>
  <c r="G49" i="1"/>
  <c r="J49" i="1" s="1"/>
  <c r="M49" i="1" s="1"/>
  <c r="I49" i="1"/>
  <c r="L49" i="1" s="1"/>
  <c r="F49" i="1"/>
  <c r="S49" i="1" s="1"/>
  <c r="R256" i="1"/>
  <c r="H296" i="1"/>
  <c r="K296" i="1" s="1"/>
  <c r="N296" i="1" s="1"/>
  <c r="F296" i="1"/>
  <c r="S296" i="1" s="1"/>
  <c r="I296" i="1"/>
  <c r="L296" i="1" s="1"/>
  <c r="O296" i="1" s="1"/>
  <c r="G296" i="1"/>
  <c r="J296" i="1" s="1"/>
  <c r="M296" i="1" s="1"/>
  <c r="G255" i="1"/>
  <c r="J255" i="1" s="1"/>
  <c r="M255" i="1" s="1"/>
  <c r="I255" i="1"/>
  <c r="L255" i="1" s="1"/>
  <c r="O255" i="1" s="1"/>
  <c r="F255" i="1"/>
  <c r="S255" i="1" s="1"/>
  <c r="H255" i="1"/>
  <c r="K255" i="1" s="1"/>
  <c r="N255" i="1" s="1"/>
  <c r="G239" i="1"/>
  <c r="J239" i="1" s="1"/>
  <c r="M239" i="1" s="1"/>
  <c r="F239" i="1"/>
  <c r="S239" i="1" s="1"/>
  <c r="H239" i="1"/>
  <c r="K239" i="1" s="1"/>
  <c r="N239" i="1" s="1"/>
  <c r="I239" i="1"/>
  <c r="L239" i="1" s="1"/>
  <c r="O239" i="1" s="1"/>
  <c r="Q37" i="1"/>
  <c r="T37" i="1" s="1"/>
  <c r="F94" i="1"/>
  <c r="S94" i="1" s="1"/>
  <c r="H94" i="1"/>
  <c r="K94" i="1" s="1"/>
  <c r="N94" i="1" s="1"/>
  <c r="I94" i="1"/>
  <c r="L94" i="1" s="1"/>
  <c r="O94" i="1" s="1"/>
  <c r="G94" i="1"/>
  <c r="J94" i="1" s="1"/>
  <c r="M94" i="1" s="1"/>
  <c r="H292" i="1"/>
  <c r="K292" i="1" s="1"/>
  <c r="N292" i="1" s="1"/>
  <c r="F292" i="1"/>
  <c r="S292" i="1" s="1"/>
  <c r="I292" i="1"/>
  <c r="L292" i="1" s="1"/>
  <c r="O292" i="1" s="1"/>
  <c r="G292" i="1"/>
  <c r="J292" i="1" s="1"/>
  <c r="M292" i="1" s="1"/>
  <c r="I98" i="1"/>
  <c r="L98" i="1" s="1"/>
  <c r="O98" i="1" s="1"/>
  <c r="G98" i="1"/>
  <c r="J98" i="1" s="1"/>
  <c r="M98" i="1" s="1"/>
  <c r="F98" i="1"/>
  <c r="S98" i="1" s="1"/>
  <c r="H98" i="1"/>
  <c r="K98" i="1" s="1"/>
  <c r="N98" i="1" s="1"/>
  <c r="I91" i="1"/>
  <c r="L91" i="1" s="1"/>
  <c r="O91" i="1" s="1"/>
  <c r="H91" i="1"/>
  <c r="K91" i="1" s="1"/>
  <c r="N91" i="1" s="1"/>
  <c r="G91" i="1"/>
  <c r="J91" i="1" s="1"/>
  <c r="M91" i="1" s="1"/>
  <c r="F91" i="1"/>
  <c r="S91" i="1" s="1"/>
  <c r="F154" i="1"/>
  <c r="S154" i="1" s="1"/>
  <c r="I154" i="1"/>
  <c r="L154" i="1" s="1"/>
  <c r="O154" i="1" s="1"/>
  <c r="G154" i="1"/>
  <c r="J154" i="1" s="1"/>
  <c r="M154" i="1" s="1"/>
  <c r="H154" i="1"/>
  <c r="K154" i="1" s="1"/>
  <c r="N154" i="1" s="1"/>
  <c r="I243" i="1"/>
  <c r="L243" i="1" s="1"/>
  <c r="O243" i="1" s="1"/>
  <c r="H243" i="1"/>
  <c r="K243" i="1" s="1"/>
  <c r="N243" i="1" s="1"/>
  <c r="G243" i="1"/>
  <c r="J243" i="1" s="1"/>
  <c r="M243" i="1" s="1"/>
  <c r="F243" i="1"/>
  <c r="S243" i="1" s="1"/>
  <c r="I247" i="1"/>
  <c r="L247" i="1" s="1"/>
  <c r="O247" i="1" s="1"/>
  <c r="H247" i="1"/>
  <c r="K247" i="1" s="1"/>
  <c r="N247" i="1" s="1"/>
  <c r="G247" i="1"/>
  <c r="J247" i="1" s="1"/>
  <c r="M247" i="1" s="1"/>
  <c r="F247" i="1"/>
  <c r="S247" i="1" s="1"/>
  <c r="H100" i="1"/>
  <c r="K100" i="1" s="1"/>
  <c r="N100" i="1" s="1"/>
  <c r="G100" i="1"/>
  <c r="J100" i="1" s="1"/>
  <c r="M100" i="1" s="1"/>
  <c r="F100" i="1"/>
  <c r="S100" i="1" s="1"/>
  <c r="I100" i="1"/>
  <c r="L100" i="1" s="1"/>
  <c r="O100" i="1" s="1"/>
  <c r="I251" i="1"/>
  <c r="L251" i="1" s="1"/>
  <c r="O251" i="1" s="1"/>
  <c r="H251" i="1"/>
  <c r="K251" i="1" s="1"/>
  <c r="N251" i="1" s="1"/>
  <c r="G251" i="1"/>
  <c r="J251" i="1" s="1"/>
  <c r="M251" i="1" s="1"/>
  <c r="F251" i="1"/>
  <c r="S251" i="1" s="1"/>
  <c r="G303" i="1"/>
  <c r="J303" i="1" s="1"/>
  <c r="M303" i="1" s="1"/>
  <c r="H303" i="1"/>
  <c r="K303" i="1" s="1"/>
  <c r="N303" i="1" s="1"/>
  <c r="F303" i="1"/>
  <c r="S303" i="1" s="1"/>
  <c r="I303" i="1"/>
  <c r="L303" i="1" s="1"/>
  <c r="O303" i="1" s="1"/>
  <c r="M143" i="1"/>
  <c r="Q143" i="1" s="1"/>
  <c r="T143" i="1" s="1"/>
  <c r="R37" i="1"/>
  <c r="U37" i="1" s="1"/>
  <c r="Q51" i="1"/>
  <c r="T51" i="1" s="1"/>
  <c r="R51" i="1"/>
  <c r="M151" i="1"/>
  <c r="M155" i="1"/>
  <c r="R155" i="1" s="1"/>
  <c r="U155" i="1" s="1"/>
  <c r="Q45" i="1" l="1"/>
  <c r="T45" i="1" s="1"/>
  <c r="Q52" i="1"/>
  <c r="T52" i="1" s="1"/>
  <c r="R147" i="1"/>
  <c r="U147" i="1" s="1"/>
  <c r="R191" i="1"/>
  <c r="U191" i="1" s="1"/>
  <c r="R52" i="1"/>
  <c r="U52" i="1" s="1"/>
  <c r="R45" i="1"/>
  <c r="U45" i="1" s="1"/>
  <c r="R92" i="1"/>
  <c r="U92" i="1" s="1"/>
  <c r="R47" i="1"/>
  <c r="U47" i="1" s="1"/>
  <c r="E34" i="4"/>
  <c r="Q300" i="1"/>
  <c r="T266" i="1"/>
  <c r="D48" i="4" s="1"/>
  <c r="W244" i="1"/>
  <c r="X243" i="1" s="1"/>
  <c r="H4" i="7" s="1"/>
  <c r="I4" i="7" s="1"/>
  <c r="J4" i="7" s="1"/>
  <c r="W246" i="1"/>
  <c r="T267" i="1"/>
  <c r="W248" i="1"/>
  <c r="Q196" i="1"/>
  <c r="T196" i="1" s="1"/>
  <c r="Q298" i="1"/>
  <c r="T298" i="1" s="1"/>
  <c r="Q194" i="1"/>
  <c r="Q307" i="1"/>
  <c r="T307" i="1" s="1"/>
  <c r="R148" i="1"/>
  <c r="U148" i="1" s="1"/>
  <c r="Q43" i="1"/>
  <c r="T43" i="1" s="1"/>
  <c r="Q252" i="1"/>
  <c r="T252" i="1" s="1"/>
  <c r="R140" i="1"/>
  <c r="R189" i="1"/>
  <c r="U189" i="1" s="1"/>
  <c r="R203" i="1"/>
  <c r="U203" i="1" s="1"/>
  <c r="Q256" i="1"/>
  <c r="T256" i="1" s="1"/>
  <c r="Q40" i="1"/>
  <c r="T40" i="1" s="1"/>
  <c r="R53" i="1"/>
  <c r="U53" i="1" s="1"/>
  <c r="Q153" i="1"/>
  <c r="T153" i="1" s="1"/>
  <c r="Q190" i="1"/>
  <c r="T190" i="1" s="1"/>
  <c r="Q53" i="1"/>
  <c r="T53" i="1" s="1"/>
  <c r="Q41" i="1"/>
  <c r="T41" i="1" s="1"/>
  <c r="Q295" i="1"/>
  <c r="Q96" i="1"/>
  <c r="T96" i="1" s="1"/>
  <c r="R40" i="1"/>
  <c r="U40" i="1" s="1"/>
  <c r="Q297" i="1"/>
  <c r="Q47" i="1"/>
  <c r="T47" i="1" s="1"/>
  <c r="Q197" i="1"/>
  <c r="T197" i="1" s="1"/>
  <c r="R104" i="1"/>
  <c r="U104" i="1" s="1"/>
  <c r="R50" i="1"/>
  <c r="U50" i="1" s="1"/>
  <c r="R196" i="1"/>
  <c r="U196" i="1" s="1"/>
  <c r="R399" i="1"/>
  <c r="U399" i="1" s="1"/>
  <c r="R201" i="1"/>
  <c r="U201" i="1" s="1"/>
  <c r="R200" i="1"/>
  <c r="U200" i="1" s="1"/>
  <c r="E33" i="2" s="1"/>
  <c r="Q177" i="1"/>
  <c r="T177" i="1" s="1"/>
  <c r="Q407" i="1"/>
  <c r="T407" i="1" s="1"/>
  <c r="U51" i="1"/>
  <c r="Q50" i="1"/>
  <c r="T50" i="1" s="1"/>
  <c r="R190" i="1"/>
  <c r="U190" i="1" s="1"/>
  <c r="Q345" i="1"/>
  <c r="T345" i="1" s="1"/>
  <c r="R90" i="1"/>
  <c r="U90" i="1" s="1"/>
  <c r="Q245" i="1"/>
  <c r="R43" i="1"/>
  <c r="U43" i="1" s="1"/>
  <c r="Q67" i="1"/>
  <c r="T67" i="1" s="1"/>
  <c r="Q203" i="1"/>
  <c r="T203" i="1" s="1"/>
  <c r="R252" i="1"/>
  <c r="U252" i="1" s="1"/>
  <c r="R253" i="1"/>
  <c r="U253" i="1" s="1"/>
  <c r="R306" i="1"/>
  <c r="U306" i="1" s="1"/>
  <c r="Q151" i="1"/>
  <c r="T151" i="1" s="1"/>
  <c r="R204" i="1"/>
  <c r="U204" i="1" s="1"/>
  <c r="R429" i="1"/>
  <c r="U429" i="1" s="1"/>
  <c r="Q429" i="1"/>
  <c r="T429" i="1" s="1"/>
  <c r="E36" i="4"/>
  <c r="E46" i="4"/>
  <c r="T194" i="1"/>
  <c r="D26" i="2" s="1"/>
  <c r="R199" i="1"/>
  <c r="U199" i="1" s="1"/>
  <c r="E37" i="4"/>
  <c r="E47" i="4"/>
  <c r="Q271" i="1"/>
  <c r="T271" i="1" s="1"/>
  <c r="R271" i="1"/>
  <c r="U271" i="1" s="1"/>
  <c r="Q139" i="1"/>
  <c r="T139" i="1" s="1"/>
  <c r="Q189" i="1"/>
  <c r="T189" i="1" s="1"/>
  <c r="R425" i="1"/>
  <c r="U425" i="1" s="1"/>
  <c r="R295" i="1"/>
  <c r="U295" i="1" s="1"/>
  <c r="R46" i="1"/>
  <c r="U46" i="1" s="1"/>
  <c r="R197" i="1"/>
  <c r="U197" i="1" s="1"/>
  <c r="Q172" i="1"/>
  <c r="T172" i="1" s="1"/>
  <c r="T295" i="1"/>
  <c r="Q95" i="1"/>
  <c r="T95" i="1" s="1"/>
  <c r="E35" i="4"/>
  <c r="E45" i="4"/>
  <c r="R245" i="1"/>
  <c r="U245" i="1" s="1"/>
  <c r="E27" i="2" s="1"/>
  <c r="R246" i="1"/>
  <c r="U246" i="1" s="1"/>
  <c r="Q101" i="1"/>
  <c r="T101" i="1" s="1"/>
  <c r="R194" i="1"/>
  <c r="U194" i="1" s="1"/>
  <c r="E26" i="2" s="1"/>
  <c r="Q228" i="1"/>
  <c r="T228" i="1" s="1"/>
  <c r="R222" i="1"/>
  <c r="U222" i="1" s="1"/>
  <c r="Q222" i="1"/>
  <c r="T222" i="1" s="1"/>
  <c r="R415" i="1"/>
  <c r="U415" i="1" s="1"/>
  <c r="Q415" i="1"/>
  <c r="T415" i="1" s="1"/>
  <c r="T141" i="1"/>
  <c r="R42" i="1"/>
  <c r="U42" i="1" s="1"/>
  <c r="E23" i="2" s="1"/>
  <c r="Q195" i="1"/>
  <c r="T195" i="1" s="1"/>
  <c r="U141" i="1"/>
  <c r="Q204" i="1"/>
  <c r="T204" i="1" s="1"/>
  <c r="Q198" i="1"/>
  <c r="T198" i="1" s="1"/>
  <c r="Q39" i="1"/>
  <c r="T39" i="1" s="1"/>
  <c r="R48" i="1"/>
  <c r="U48" i="1" s="1"/>
  <c r="E30" i="2" s="1"/>
  <c r="Q42" i="1"/>
  <c r="T42" i="1" s="1"/>
  <c r="D23" i="2" s="1"/>
  <c r="Q199" i="1"/>
  <c r="T199" i="1" s="1"/>
  <c r="R307" i="1"/>
  <c r="U307" i="1" s="1"/>
  <c r="Q200" i="1"/>
  <c r="T200" i="1" s="1"/>
  <c r="D33" i="2" s="1"/>
  <c r="R198" i="1"/>
  <c r="U198" i="1" s="1"/>
  <c r="Q257" i="1"/>
  <c r="T257" i="1" s="1"/>
  <c r="D41" i="2" s="1"/>
  <c r="Q48" i="1"/>
  <c r="T48" i="1" s="1"/>
  <c r="D30" i="2" s="1"/>
  <c r="U256" i="1"/>
  <c r="Q36" i="1"/>
  <c r="T36" i="1" s="1"/>
  <c r="R54" i="1"/>
  <c r="U54" i="1" s="1"/>
  <c r="R242" i="1"/>
  <c r="U242" i="1" s="1"/>
  <c r="Q142" i="1"/>
  <c r="T142" i="1" s="1"/>
  <c r="Q150" i="1"/>
  <c r="T150" i="1" s="1"/>
  <c r="D32" i="2" s="1"/>
  <c r="Q304" i="1"/>
  <c r="T304" i="1" s="1"/>
  <c r="R38" i="1"/>
  <c r="U38" i="1" s="1"/>
  <c r="Q54" i="1"/>
  <c r="T54" i="1" s="1"/>
  <c r="D37" i="2" s="1"/>
  <c r="Q253" i="1"/>
  <c r="T253" i="1" s="1"/>
  <c r="R149" i="1"/>
  <c r="U149" i="1" s="1"/>
  <c r="T201" i="1"/>
  <c r="R244" i="1"/>
  <c r="U244" i="1" s="1"/>
  <c r="U140" i="1"/>
  <c r="R39" i="1"/>
  <c r="U39" i="1" s="1"/>
  <c r="Q248" i="1"/>
  <c r="R257" i="1"/>
  <c r="U257" i="1" s="1"/>
  <c r="Q241" i="1"/>
  <c r="T241" i="1" s="1"/>
  <c r="R36" i="1"/>
  <c r="U36" i="1" s="1"/>
  <c r="E13" i="2" s="1"/>
  <c r="Q38" i="1"/>
  <c r="T38" i="1" s="1"/>
  <c r="Q299" i="1"/>
  <c r="T299" i="1" s="1"/>
  <c r="R240" i="1"/>
  <c r="U240" i="1" s="1"/>
  <c r="R44" i="1"/>
  <c r="U44" i="1" s="1"/>
  <c r="Q138" i="1"/>
  <c r="T138" i="1" s="1"/>
  <c r="Q246" i="1"/>
  <c r="Q156" i="1"/>
  <c r="T156" i="1" s="1"/>
  <c r="D39" i="2" s="1"/>
  <c r="Q202" i="1"/>
  <c r="T202" i="1" s="1"/>
  <c r="R195" i="1"/>
  <c r="U195" i="1" s="1"/>
  <c r="Q192" i="1"/>
  <c r="T192" i="1" s="1"/>
  <c r="Q250" i="1"/>
  <c r="T250" i="1" s="1"/>
  <c r="Q193" i="1"/>
  <c r="T193" i="1" s="1"/>
  <c r="R192" i="1"/>
  <c r="U192" i="1" s="1"/>
  <c r="U249" i="1"/>
  <c r="Q46" i="1"/>
  <c r="T46" i="1" s="1"/>
  <c r="R254" i="1"/>
  <c r="U254" i="1" s="1"/>
  <c r="Q242" i="1"/>
  <c r="T242" i="1" s="1"/>
  <c r="R153" i="1"/>
  <c r="U153" i="1" s="1"/>
  <c r="Q240" i="1"/>
  <c r="T240" i="1" s="1"/>
  <c r="R142" i="1"/>
  <c r="U142" i="1" s="1"/>
  <c r="R202" i="1"/>
  <c r="U202" i="1" s="1"/>
  <c r="R105" i="1"/>
  <c r="U105" i="1" s="1"/>
  <c r="R145" i="1"/>
  <c r="U145" i="1" s="1"/>
  <c r="T249" i="1"/>
  <c r="R250" i="1"/>
  <c r="U250" i="1" s="1"/>
  <c r="R88" i="1"/>
  <c r="U88" i="1" s="1"/>
  <c r="U146" i="1"/>
  <c r="Q244" i="1"/>
  <c r="T244" i="1" s="1"/>
  <c r="R193" i="1"/>
  <c r="U193" i="1" s="1"/>
  <c r="Q205" i="1"/>
  <c r="T205" i="1" s="1"/>
  <c r="Q44" i="1"/>
  <c r="T44" i="1" s="1"/>
  <c r="Q291" i="1"/>
  <c r="T291" i="1" s="1"/>
  <c r="U206" i="1"/>
  <c r="Q93" i="1"/>
  <c r="T93" i="1" s="1"/>
  <c r="Q90" i="1"/>
  <c r="T90" i="1" s="1"/>
  <c r="R241" i="1"/>
  <c r="U241" i="1" s="1"/>
  <c r="R138" i="1"/>
  <c r="U138" i="1" s="1"/>
  <c r="E15" i="2" s="1"/>
  <c r="Q87" i="1"/>
  <c r="T87" i="1" s="1"/>
  <c r="R188" i="1"/>
  <c r="U188" i="1" s="1"/>
  <c r="E16" i="2" s="1"/>
  <c r="R205" i="1"/>
  <c r="U205" i="1" s="1"/>
  <c r="R248" i="1"/>
  <c r="U248" i="1" s="1"/>
  <c r="R298" i="1"/>
  <c r="U298" i="1" s="1"/>
  <c r="R93" i="1"/>
  <c r="U93" i="1" s="1"/>
  <c r="E24" i="2" s="1"/>
  <c r="R308" i="1"/>
  <c r="U308" i="1" s="1"/>
  <c r="R96" i="1"/>
  <c r="U96" i="1" s="1"/>
  <c r="Q97" i="1"/>
  <c r="T97" i="1" s="1"/>
  <c r="Q206" i="1"/>
  <c r="T206" i="1" s="1"/>
  <c r="R89" i="1"/>
  <c r="U89" i="1" s="1"/>
  <c r="T297" i="1"/>
  <c r="Q145" i="1"/>
  <c r="T145" i="1" s="1"/>
  <c r="R156" i="1"/>
  <c r="U156" i="1" s="1"/>
  <c r="Q144" i="1"/>
  <c r="T144" i="1" s="1"/>
  <c r="T245" i="1"/>
  <c r="Q254" i="1"/>
  <c r="T254" i="1" s="1"/>
  <c r="R150" i="1"/>
  <c r="U150" i="1" s="1"/>
  <c r="E32" i="2" s="1"/>
  <c r="Q146" i="1"/>
  <c r="T146" i="1" s="1"/>
  <c r="Q152" i="1"/>
  <c r="T152" i="1" s="1"/>
  <c r="Q293" i="1"/>
  <c r="T293" i="1" s="1"/>
  <c r="Q149" i="1"/>
  <c r="T149" i="1" s="1"/>
  <c r="Q104" i="1"/>
  <c r="T104" i="1" s="1"/>
  <c r="T300" i="1"/>
  <c r="Q188" i="1"/>
  <c r="T188" i="1" s="1"/>
  <c r="Q105" i="1"/>
  <c r="T105" i="1" s="1"/>
  <c r="Q306" i="1"/>
  <c r="T306" i="1" s="1"/>
  <c r="R304" i="1"/>
  <c r="U304" i="1" s="1"/>
  <c r="R300" i="1"/>
  <c r="U300" i="1" s="1"/>
  <c r="Q308" i="1"/>
  <c r="T308" i="1" s="1"/>
  <c r="R297" i="1"/>
  <c r="U297" i="1" s="1"/>
  <c r="Q305" i="1"/>
  <c r="T305" i="1" s="1"/>
  <c r="Q302" i="1"/>
  <c r="T302" i="1" s="1"/>
  <c r="R293" i="1"/>
  <c r="U293" i="1" s="1"/>
  <c r="R144" i="1"/>
  <c r="U144" i="1" s="1"/>
  <c r="E25" i="2" s="1"/>
  <c r="R101" i="1"/>
  <c r="U101" i="1" s="1"/>
  <c r="Q92" i="1"/>
  <c r="T92" i="1" s="1"/>
  <c r="R97" i="1"/>
  <c r="U97" i="1" s="1"/>
  <c r="Q88" i="1"/>
  <c r="T88" i="1" s="1"/>
  <c r="Q89" i="1"/>
  <c r="T89" i="1" s="1"/>
  <c r="Q102" i="1"/>
  <c r="T102" i="1" s="1"/>
  <c r="Q147" i="1"/>
  <c r="T147" i="1" s="1"/>
  <c r="Q103" i="1"/>
  <c r="T103" i="1" s="1"/>
  <c r="R103" i="1"/>
  <c r="U103" i="1" s="1"/>
  <c r="R95" i="1"/>
  <c r="U95" i="1" s="1"/>
  <c r="O49" i="1"/>
  <c r="R49" i="1" s="1"/>
  <c r="U49" i="1" s="1"/>
  <c r="R305" i="1"/>
  <c r="U305" i="1" s="1"/>
  <c r="Q301" i="1"/>
  <c r="T301" i="1" s="1"/>
  <c r="R301" i="1"/>
  <c r="U301" i="1" s="1"/>
  <c r="R152" i="1"/>
  <c r="U152" i="1" s="1"/>
  <c r="R291" i="1"/>
  <c r="U291" i="1" s="1"/>
  <c r="R302" i="1"/>
  <c r="U302" i="1" s="1"/>
  <c r="R87" i="1"/>
  <c r="U87" i="1" s="1"/>
  <c r="E14" i="2" s="1"/>
  <c r="R299" i="1"/>
  <c r="U299" i="1" s="1"/>
  <c r="R294" i="1"/>
  <c r="U294" i="1" s="1"/>
  <c r="R41" i="1"/>
  <c r="U41" i="1" s="1"/>
  <c r="Q294" i="1"/>
  <c r="T294" i="1" s="1"/>
  <c r="Q290" i="1"/>
  <c r="T290" i="1" s="1"/>
  <c r="R154" i="1"/>
  <c r="U154" i="1" s="1"/>
  <c r="R290" i="1"/>
  <c r="U290" i="1" s="1"/>
  <c r="R143" i="1"/>
  <c r="U143" i="1" s="1"/>
  <c r="R303" i="1"/>
  <c r="U303" i="1" s="1"/>
  <c r="R255" i="1"/>
  <c r="U255" i="1" s="1"/>
  <c r="R139" i="1"/>
  <c r="U139" i="1" s="1"/>
  <c r="R296" i="1"/>
  <c r="U296" i="1" s="1"/>
  <c r="Q296" i="1"/>
  <c r="T296" i="1" s="1"/>
  <c r="R247" i="1"/>
  <c r="U247" i="1" s="1"/>
  <c r="Q247" i="1"/>
  <c r="Q292" i="1"/>
  <c r="T292" i="1" s="1"/>
  <c r="Q100" i="1"/>
  <c r="T100" i="1" s="1"/>
  <c r="R100" i="1"/>
  <c r="U100" i="1" s="1"/>
  <c r="Q91" i="1"/>
  <c r="T91" i="1" s="1"/>
  <c r="R91" i="1"/>
  <c r="U91" i="1" s="1"/>
  <c r="R292" i="1"/>
  <c r="U292" i="1" s="1"/>
  <c r="Q243" i="1"/>
  <c r="T243" i="1" s="1"/>
  <c r="R243" i="1"/>
  <c r="U243" i="1" s="1"/>
  <c r="Q303" i="1"/>
  <c r="T303" i="1" s="1"/>
  <c r="Q99" i="1"/>
  <c r="T99" i="1" s="1"/>
  <c r="R99" i="1"/>
  <c r="U99" i="1" s="1"/>
  <c r="E31" i="2" s="1"/>
  <c r="R251" i="1"/>
  <c r="U251" i="1" s="1"/>
  <c r="E34" i="2" s="1"/>
  <c r="Q251" i="1"/>
  <c r="T251" i="1" s="1"/>
  <c r="Q154" i="1"/>
  <c r="T154" i="1" s="1"/>
  <c r="Q98" i="1"/>
  <c r="T98" i="1" s="1"/>
  <c r="R98" i="1"/>
  <c r="U98" i="1" s="1"/>
  <c r="Q94" i="1"/>
  <c r="T94" i="1" s="1"/>
  <c r="R94" i="1"/>
  <c r="U94" i="1" s="1"/>
  <c r="R239" i="1"/>
  <c r="U239" i="1" s="1"/>
  <c r="E17" i="2" s="1"/>
  <c r="Q239" i="1"/>
  <c r="T239" i="1" s="1"/>
  <c r="Q255" i="1"/>
  <c r="T255" i="1" s="1"/>
  <c r="Q140" i="1"/>
  <c r="T140" i="1" s="1"/>
  <c r="Q155" i="1"/>
  <c r="T155" i="1" s="1"/>
  <c r="R151" i="1"/>
  <c r="U151" i="1" s="1"/>
  <c r="T247" i="1" l="1"/>
  <c r="W252" i="1"/>
  <c r="W254" i="1"/>
  <c r="T248" i="1"/>
  <c r="W256" i="1"/>
  <c r="X247" i="1"/>
  <c r="H6" i="7" s="1"/>
  <c r="I6" i="7" s="1"/>
  <c r="J6" i="7" s="1"/>
  <c r="T246" i="1"/>
  <c r="W250" i="1"/>
  <c r="X251" i="1" s="1"/>
  <c r="H5" i="7" s="1"/>
  <c r="I5" i="7" s="1"/>
  <c r="J5" i="7" s="1"/>
  <c r="Q49" i="1"/>
  <c r="T49" i="1" s="1"/>
  <c r="D24" i="2"/>
  <c r="D25" i="2"/>
  <c r="D16" i="2"/>
  <c r="D34" i="2"/>
  <c r="D13" i="2"/>
  <c r="D38" i="2"/>
  <c r="D31" i="2"/>
  <c r="D27" i="2"/>
  <c r="D40" i="2"/>
  <c r="D15" i="2"/>
  <c r="D14" i="2"/>
  <c r="D17" i="2"/>
  <c r="X255" i="1" l="1"/>
  <c r="H7" i="7" s="1"/>
  <c r="I7" i="7" s="1"/>
  <c r="J7" i="7" s="1"/>
</calcChain>
</file>

<file path=xl/sharedStrings.xml><?xml version="1.0" encoding="utf-8"?>
<sst xmlns="http://schemas.openxmlformats.org/spreadsheetml/2006/main" count="1305" uniqueCount="200">
  <si>
    <t>f'c</t>
  </si>
  <si>
    <t>fy</t>
  </si>
  <si>
    <t>Lw1</t>
  </si>
  <si>
    <t>Lw2</t>
  </si>
  <si>
    <t>t1</t>
  </si>
  <si>
    <t>t2</t>
  </si>
  <si>
    <t>β1</t>
  </si>
  <si>
    <t>ρ</t>
  </si>
  <si>
    <t>As1</t>
  </si>
  <si>
    <t>As2</t>
  </si>
  <si>
    <t>As3</t>
  </si>
  <si>
    <t>x̅</t>
  </si>
  <si>
    <t>Ag</t>
  </si>
  <si>
    <t>ksi</t>
  </si>
  <si>
    <t>in</t>
  </si>
  <si>
    <t>in2</t>
  </si>
  <si>
    <t>x1</t>
  </si>
  <si>
    <t>x2</t>
  </si>
  <si>
    <t>x3</t>
  </si>
  <si>
    <t>ϕ</t>
  </si>
  <si>
    <t>εt</t>
  </si>
  <si>
    <t>εs1</t>
  </si>
  <si>
    <t>εs2</t>
  </si>
  <si>
    <t>εs3</t>
  </si>
  <si>
    <t>fs1</t>
  </si>
  <si>
    <t>fs2</t>
  </si>
  <si>
    <t>fs3</t>
  </si>
  <si>
    <t>Fs1</t>
  </si>
  <si>
    <t>Fs2</t>
  </si>
  <si>
    <t>Fs3</t>
  </si>
  <si>
    <t>Fc</t>
  </si>
  <si>
    <t>Pn</t>
  </si>
  <si>
    <t>Mn</t>
  </si>
  <si>
    <t>φ</t>
  </si>
  <si>
    <t>φPn</t>
  </si>
  <si>
    <t>φMn</t>
  </si>
  <si>
    <t>Negative moment</t>
  </si>
  <si>
    <t>c</t>
  </si>
  <si>
    <t>a/t2</t>
  </si>
  <si>
    <t>1/in</t>
  </si>
  <si>
    <t>Es</t>
  </si>
  <si>
    <t>kip</t>
  </si>
  <si>
    <t>kip-ft</t>
  </si>
  <si>
    <t>a/(Lw1 - t2)</t>
  </si>
  <si>
    <t>Positive moment</t>
  </si>
  <si>
    <t>x̅s</t>
  </si>
  <si>
    <t>Ast</t>
  </si>
  <si>
    <t>c/Lw1</t>
  </si>
  <si>
    <t>c / Lw1</t>
  </si>
  <si>
    <r>
      <t>ρ</t>
    </r>
    <r>
      <rPr>
        <sz val="10.55"/>
        <color theme="4" tint="-0.249977111117893"/>
        <rFont val="Calibri"/>
        <family val="2"/>
      </rPr>
      <t>l</t>
    </r>
  </si>
  <si>
    <t>%</t>
  </si>
  <si>
    <t>εs4</t>
  </si>
  <si>
    <t>fs4</t>
  </si>
  <si>
    <t>Fs4</t>
  </si>
  <si>
    <t>y</t>
  </si>
  <si>
    <t>y4</t>
  </si>
  <si>
    <t>y1</t>
  </si>
  <si>
    <t>y2</t>
  </si>
  <si>
    <t>y3</t>
  </si>
  <si>
    <t>As4</t>
  </si>
  <si>
    <t>c/Lw2</t>
  </si>
  <si>
    <t>a/t1</t>
  </si>
  <si>
    <t>-φMn</t>
  </si>
  <si>
    <t>Pu</t>
  </si>
  <si>
    <t>Mu</t>
  </si>
  <si>
    <t>s</t>
  </si>
  <si>
    <t>ys</t>
  </si>
  <si>
    <t xml:space="preserve">No. </t>
  </si>
  <si>
    <t>LC</t>
  </si>
  <si>
    <t>0.9D - 0.2SDS + 1.0 Ex Max</t>
  </si>
  <si>
    <t>0.9D - 0.2SDS + 1.0 Ex Min</t>
  </si>
  <si>
    <t>1.2D + 0.2SDS + 0.5L + 1.0 Ex Max</t>
  </si>
  <si>
    <t>1.2D + 0.2SDS + 0.5L + 1.0 Ex Min</t>
  </si>
  <si>
    <t>Mu,NS</t>
  </si>
  <si>
    <t>Vu,EW</t>
  </si>
  <si>
    <t>Kips</t>
  </si>
  <si>
    <t>Kip-ft</t>
  </si>
  <si>
    <t>Moment in NS direction, shear in EW direction at the base of the left wall</t>
  </si>
  <si>
    <t>Moment in EW direction, shear in NS direction at the base of the left wall</t>
  </si>
  <si>
    <t>0.9D - 0.2SDS + 1.0 Ey Max</t>
  </si>
  <si>
    <t>0.9D - 0.2SDS + 1.0 Ey Min</t>
  </si>
  <si>
    <t>1.2D + 0.2SDS + 0.5L + 1.0 Ey Max</t>
  </si>
  <si>
    <t>1.2D + 0.2SDS + 0.5L + 1.0 Ey Min</t>
  </si>
  <si>
    <t>-</t>
  </si>
  <si>
    <t>Req.</t>
  </si>
  <si>
    <t>ft</t>
  </si>
  <si>
    <t>Length</t>
  </si>
  <si>
    <t>Sr. No.</t>
  </si>
  <si>
    <t>Description</t>
  </si>
  <si>
    <t>Notation</t>
  </si>
  <si>
    <t>Units</t>
  </si>
  <si>
    <t>Value</t>
  </si>
  <si>
    <t>Calulation of longitudinal reinforcement at the base</t>
  </si>
  <si>
    <t>Moment in NS Direction, Shear in EW direction</t>
  </si>
  <si>
    <t>sq.inch</t>
  </si>
  <si>
    <t>Curtains on reinforcement (for 30" thickness)</t>
  </si>
  <si>
    <t>curtains</t>
  </si>
  <si>
    <t>Required reinforcement in walls</t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</si>
  <si>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l_req</t>
    </r>
  </si>
  <si>
    <t>Diameter of bars proposed to be used</t>
  </si>
  <si>
    <t>db</t>
  </si>
  <si>
    <t>#11</t>
  </si>
  <si>
    <t>Imperial Bar Size</t>
  </si>
  <si>
    <t>"Soft" Metric Size</t>
  </si>
  <si>
    <t>Weight per unit length (lb/ft)</t>
  </si>
  <si>
    <t>Mass per unit length (kg/m)</t>
  </si>
  <si>
    <t>Nominal Diameter (in)</t>
  </si>
  <si>
    <t>Nominal Diameter (mm)</t>
  </si>
  <si>
    <r>
      <t>Nominal Area(in</t>
    </r>
    <r>
      <rPr>
        <vertAlign val="superscript"/>
        <sz val="11"/>
        <color rgb="FFFFFFFF"/>
        <rFont val="Inherit"/>
      </rPr>
      <t>2</t>
    </r>
    <r>
      <rPr>
        <sz val="11"/>
        <color rgb="FFFFFFFF"/>
        <rFont val="Inherit"/>
      </rPr>
      <t>)</t>
    </r>
  </si>
  <si>
    <r>
      <t>Nominal Area (mm</t>
    </r>
    <r>
      <rPr>
        <vertAlign val="superscript"/>
        <sz val="11"/>
        <color rgb="FFFFFFFF"/>
        <rFont val="Inherit"/>
      </rPr>
      <t>2</t>
    </r>
    <r>
      <rPr>
        <sz val="11"/>
        <color rgb="FFFFFFFF"/>
        <rFont val="Inherit"/>
      </rPr>
      <t>)</t>
    </r>
  </si>
  <si>
    <t>#3</t>
  </si>
  <si>
    <t>#10</t>
  </si>
  <si>
    <t>#4</t>
  </si>
  <si>
    <t>#13</t>
  </si>
  <si>
    <t>#5</t>
  </si>
  <si>
    <t>#16</t>
  </si>
  <si>
    <t>#6</t>
  </si>
  <si>
    <t>#19</t>
  </si>
  <si>
    <t>#7</t>
  </si>
  <si>
    <t>#22</t>
  </si>
  <si>
    <t>#8</t>
  </si>
  <si>
    <t>#25</t>
  </si>
  <si>
    <t>#9</t>
  </si>
  <si>
    <t>#29</t>
  </si>
  <si>
    <t>#32</t>
  </si>
  <si>
    <t>#36</t>
  </si>
  <si>
    <t>#14</t>
  </si>
  <si>
    <t>#43</t>
  </si>
  <si>
    <t>#18</t>
  </si>
  <si>
    <t>#57</t>
  </si>
  <si>
    <t>Notation of bars proposed to be used</t>
  </si>
  <si>
    <t>#</t>
  </si>
  <si>
    <t>inch</t>
  </si>
  <si>
    <t>Area of single bar proposed to be used</t>
  </si>
  <si>
    <t>Adb</t>
  </si>
  <si>
    <t>L_wall</t>
  </si>
  <si>
    <t>t_wall</t>
  </si>
  <si>
    <r>
      <t>Calculated spacing of bars = Adb*curtains/(t_wall*</t>
    </r>
    <r>
      <rPr>
        <sz val="11"/>
        <color theme="1"/>
        <rFont val="Calibri"/>
        <family val="2"/>
      </rPr>
      <t>ρl)</t>
    </r>
  </si>
  <si>
    <r>
      <t xml:space="preserve">As per </t>
    </r>
    <r>
      <rPr>
        <sz val="11"/>
        <color theme="1"/>
        <rFont val="Calibri"/>
        <family val="2"/>
      </rPr>
      <t>§18.10.2.1</t>
    </r>
    <r>
      <rPr>
        <sz val="11"/>
        <color theme="1"/>
        <rFont val="Calibri"/>
        <family val="2"/>
        <scheme val="minor"/>
      </rPr>
      <t xml:space="preserve"> - spacing should be less than 18"</t>
    </r>
  </si>
  <si>
    <t>s&lt;18"</t>
  </si>
  <si>
    <t>Check</t>
  </si>
  <si>
    <t xml:space="preserve">Length of each leg of the wall </t>
  </si>
  <si>
    <t xml:space="preserve">Width of each leg of the wall </t>
  </si>
  <si>
    <t>Area of each leg of the wall</t>
  </si>
  <si>
    <t>A_wall</t>
  </si>
  <si>
    <t>Moment in EW Direction, Shear in NS direction</t>
  </si>
  <si>
    <t>Height</t>
  </si>
  <si>
    <t>Shear Demand</t>
  </si>
  <si>
    <r>
      <t>Vu_</t>
    </r>
    <r>
      <rPr>
        <i/>
        <sz val="8"/>
        <color theme="1"/>
        <rFont val="Calibri"/>
        <family val="2"/>
        <scheme val="minor"/>
      </rPr>
      <t>EW</t>
    </r>
  </si>
  <si>
    <t>kips</t>
  </si>
  <si>
    <t>Compressive strength of concrete</t>
  </si>
  <si>
    <t>λ</t>
  </si>
  <si>
    <r>
      <t>Reduction factor for light weight concrete (</t>
    </r>
    <r>
      <rPr>
        <sz val="11"/>
        <color theme="1"/>
        <rFont val="Calibri"/>
        <family val="2"/>
      </rPr>
      <t>§17.2.6</t>
    </r>
    <r>
      <rPr>
        <sz val="11"/>
        <color theme="1"/>
        <rFont val="Calibri"/>
        <family val="2"/>
        <scheme val="minor"/>
      </rPr>
      <t>)</t>
    </r>
  </si>
  <si>
    <r>
      <t xml:space="preserve">Shear Strength of concrete = A_wall * </t>
    </r>
    <r>
      <rPr>
        <sz val="11"/>
        <color theme="1"/>
        <rFont val="Calibri"/>
        <family val="2"/>
      </rPr>
      <t>λ * √(f'c)</t>
    </r>
  </si>
  <si>
    <t>Vnc</t>
  </si>
  <si>
    <t>hw/Lw</t>
  </si>
  <si>
    <t>Shear strength reduction factor</t>
  </si>
  <si>
    <t>φ*Vns</t>
  </si>
  <si>
    <r>
      <t xml:space="preserve">Shear reinforcement required = </t>
    </r>
    <r>
      <rPr>
        <sz val="11"/>
        <color theme="1"/>
        <rFont val="Calibri"/>
        <family val="2"/>
      </rPr>
      <t>φVns/(φ*A_wall*fy)</t>
    </r>
  </si>
  <si>
    <t>Layers of reinforcement</t>
  </si>
  <si>
    <t>Area of the transverse reinforcement</t>
  </si>
  <si>
    <t>Layers</t>
  </si>
  <si>
    <t>Layers*Abd</t>
  </si>
  <si>
    <t>ρt_req</t>
  </si>
  <si>
    <t>ρt_prov</t>
  </si>
  <si>
    <r>
      <t>Spacing required = layers*Abd/(t_wall*</t>
    </r>
    <r>
      <rPr>
        <sz val="11"/>
        <color theme="1"/>
        <rFont val="Calibri"/>
        <family val="2"/>
      </rPr>
      <t>ρt_prov)</t>
    </r>
  </si>
  <si>
    <t xml:space="preserve">Area of transverse reinforcement provided </t>
  </si>
  <si>
    <t>Height to length ratio of the wall</t>
  </si>
  <si>
    <t>α</t>
  </si>
  <si>
    <t xml:space="preserve">Relative contribution of concrete </t>
  </si>
  <si>
    <r>
      <t xml:space="preserve">strength to nominal wall shear strength </t>
    </r>
    <r>
      <rPr>
        <sz val="11"/>
        <color theme="1"/>
        <rFont val="Calibri"/>
        <family val="2"/>
      </rPr>
      <t>§18.10.4.1</t>
    </r>
  </si>
  <si>
    <t>φ*Vn</t>
  </si>
  <si>
    <r>
      <t>φ*Vn = φ*Acv*(α*</t>
    </r>
    <r>
      <rPr>
        <sz val="11"/>
        <color theme="1"/>
        <rFont val="Calibri"/>
        <family val="2"/>
      </rPr>
      <t>λ*√(f'c) + ρt*fy)</t>
    </r>
  </si>
  <si>
    <r>
      <t>Check if Vu_</t>
    </r>
    <r>
      <rPr>
        <sz val="8"/>
        <color theme="1"/>
        <rFont val="Calibri"/>
        <family val="2"/>
        <scheme val="minor"/>
      </rPr>
      <t>EW</t>
    </r>
    <r>
      <rPr>
        <sz val="11"/>
        <color theme="1"/>
        <rFont val="Calibri"/>
        <family val="2"/>
        <scheme val="minor"/>
      </rPr>
      <t xml:space="preserve"> &lt; φ*Vn</t>
    </r>
  </si>
  <si>
    <t>Calculation of shear reinforcement at the base in EW</t>
  </si>
  <si>
    <t>DCR</t>
  </si>
  <si>
    <t>Bundled bars</t>
  </si>
  <si>
    <t>δu/hwcs</t>
  </si>
  <si>
    <t>Mpr</t>
  </si>
  <si>
    <r>
      <rPr>
        <sz val="11"/>
        <color theme="1"/>
        <rFont val="Calibri"/>
        <family val="2"/>
      </rPr>
      <t>Ω</t>
    </r>
    <r>
      <rPr>
        <sz val="9.35"/>
        <color theme="1"/>
        <rFont val="Calibri"/>
        <family val="2"/>
      </rPr>
      <t>v</t>
    </r>
  </si>
  <si>
    <t>Number of stories about critical section</t>
  </si>
  <si>
    <t>ns</t>
  </si>
  <si>
    <t>MiMinimum ns = 0.007*hwcs</t>
  </si>
  <si>
    <t>Ve,EW</t>
  </si>
  <si>
    <t>Ωv</t>
  </si>
  <si>
    <t>𝜔v</t>
  </si>
  <si>
    <t>Ωv*𝜔v</t>
  </si>
  <si>
    <t>&lt;=3</t>
  </si>
  <si>
    <t>Dynamic amplification*overstrenght factor</t>
  </si>
  <si>
    <r>
      <t>Ve_</t>
    </r>
    <r>
      <rPr>
        <i/>
        <sz val="8"/>
        <color theme="1"/>
        <rFont val="Calibri"/>
        <family val="2"/>
        <scheme val="minor"/>
      </rPr>
      <t>EW</t>
    </r>
  </si>
  <si>
    <t>Reinforcement to be provided, check for minimum</t>
  </si>
  <si>
    <r>
      <t xml:space="preserve">Strength reduced capacity of concrete = </t>
    </r>
    <r>
      <rPr>
        <sz val="11"/>
        <color theme="1"/>
        <rFont val="Calibri"/>
        <family val="2"/>
      </rPr>
      <t>α</t>
    </r>
    <r>
      <rPr>
        <sz val="12.65"/>
        <color theme="1"/>
        <rFont val="Calibri"/>
        <family val="2"/>
      </rPr>
      <t>*φ*</t>
    </r>
    <r>
      <rPr>
        <sz val="11"/>
        <color theme="1"/>
        <rFont val="Calibri"/>
        <family val="2"/>
        <scheme val="minor"/>
      </rPr>
      <t>Vnc</t>
    </r>
  </si>
  <si>
    <t>α*φ*Vnc</t>
  </si>
  <si>
    <r>
      <t>Balance shear force Vu</t>
    </r>
    <r>
      <rPr>
        <sz val="8"/>
        <color theme="1"/>
        <rFont val="Calibri"/>
        <family val="2"/>
        <scheme val="minor"/>
      </rPr>
      <t>_EW</t>
    </r>
    <r>
      <rPr>
        <sz val="11"/>
        <color theme="1"/>
        <rFont val="Calibri"/>
        <family val="2"/>
        <scheme val="minor"/>
      </rPr>
      <t>-α*</t>
    </r>
    <r>
      <rPr>
        <sz val="11"/>
        <color theme="1"/>
        <rFont val="Calibri"/>
        <family val="2"/>
      </rPr>
      <t>φ*</t>
    </r>
    <r>
      <rPr>
        <sz val="11"/>
        <color theme="1"/>
        <rFont val="Calibri"/>
        <family val="2"/>
        <scheme val="minor"/>
      </rPr>
      <t>Vnc</t>
    </r>
  </si>
  <si>
    <t>s_prov</t>
  </si>
  <si>
    <r>
      <t xml:space="preserve">If Ve_EW&gt;Vnc, we required </t>
    </r>
    <r>
      <rPr>
        <sz val="11"/>
        <color theme="1"/>
        <rFont val="Calibri"/>
        <family val="2"/>
      </rPr>
      <t>ρ</t>
    </r>
    <r>
      <rPr>
        <sz val="8"/>
        <color theme="1"/>
        <rFont val="Calibri"/>
        <family val="2"/>
      </rPr>
      <t xml:space="preserve">t </t>
    </r>
    <r>
      <rPr>
        <sz val="11"/>
        <color theme="1"/>
        <rFont val="Calibri"/>
        <family val="2"/>
      </rPr>
      <t>&gt; 0.0025</t>
    </r>
  </si>
  <si>
    <r>
      <t>c_max=lw/(600*
(1.5*</t>
    </r>
    <r>
      <rPr>
        <sz val="8"/>
        <color theme="1"/>
        <rFont val="Calibri"/>
        <family val="2"/>
      </rPr>
      <t>δ</t>
    </r>
    <r>
      <rPr>
        <sz val="8"/>
        <color theme="1"/>
        <rFont val="Calibri"/>
        <family val="2"/>
        <scheme val="minor"/>
      </rPr>
      <t>u/hw)</t>
    </r>
  </si>
  <si>
    <t>c_calc</t>
  </si>
  <si>
    <t>Proposing 4 layers of 1#5 bars as transverse reinf.</t>
  </si>
  <si>
    <t>For 80ksi, smax = 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</si>
</sst>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0"/>
    <numFmt numFmtId="168" formatCode="0.0000000"/>
    <numFmt numFmtId="169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</font>
    <font>
      <b/>
      <sz val="9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</font>
    <font>
      <sz val="10.55"/>
      <color theme="4" tint="-0.249977111117893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Inherit"/>
    </font>
    <font>
      <vertAlign val="superscript"/>
      <sz val="11"/>
      <color rgb="FFFFFFFF"/>
      <name val="Inherit"/>
    </font>
    <font>
      <sz val="11"/>
      <color rgb="FF000000"/>
      <name val="Inherit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9.35"/>
      <color theme="1"/>
      <name val="Calibri"/>
      <family val="2"/>
    </font>
    <font>
      <sz val="12.65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65693"/>
        <bgColor indexed="64"/>
      </patternFill>
    </fill>
    <fill>
      <patternFill patternType="solid">
        <fgColor rgb="FFD8D8D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06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right" indent="2"/>
    </xf>
    <xf numFmtId="1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  <xf numFmtId="2" fontId="0" fillId="2" borderId="1" xfId="0" applyNumberFormat="1" applyFill="1" applyBorder="1"/>
    <xf numFmtId="166" fontId="0" fillId="2" borderId="1" xfId="0" applyNumberForma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2" fontId="0" fillId="0" borderId="1" xfId="0" applyNumberFormat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 indent="2"/>
    </xf>
    <xf numFmtId="167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167" fontId="0" fillId="0" borderId="1" xfId="0" applyNumberFormat="1" applyBorder="1" applyAlignment="1">
      <alignment horizontal="right" indent="2"/>
    </xf>
    <xf numFmtId="165" fontId="0" fillId="0" borderId="1" xfId="0" applyNumberFormat="1" applyBorder="1" applyAlignment="1">
      <alignment horizontal="right" indent="2"/>
    </xf>
    <xf numFmtId="168" fontId="0" fillId="0" borderId="1" xfId="0" applyNumberFormat="1" applyBorder="1"/>
    <xf numFmtId="165" fontId="0" fillId="0" borderId="1" xfId="0" applyNumberFormat="1" applyFill="1" applyBorder="1" applyAlignment="1">
      <alignment horizontal="right" indent="2"/>
    </xf>
    <xf numFmtId="1" fontId="0" fillId="2" borderId="1" xfId="0" applyNumberFormat="1" applyFill="1" applyBorder="1"/>
    <xf numFmtId="10" fontId="0" fillId="0" borderId="1" xfId="1" applyNumberFormat="1" applyFont="1" applyBorder="1"/>
    <xf numFmtId="0" fontId="0" fillId="3" borderId="1" xfId="0" applyFill="1" applyBorder="1"/>
    <xf numFmtId="0" fontId="5" fillId="0" borderId="1" xfId="0" quotePrefix="1" applyFont="1" applyBorder="1" applyAlignment="1">
      <alignment horizontal="center"/>
    </xf>
    <xf numFmtId="169" fontId="0" fillId="0" borderId="1" xfId="0" applyNumberFormat="1" applyBorder="1"/>
    <xf numFmtId="0" fontId="0" fillId="0" borderId="1" xfId="0" applyBorder="1" applyAlignment="1">
      <alignment horizontal="center"/>
    </xf>
    <xf numFmtId="0" fontId="9" fillId="0" borderId="1" xfId="0" applyFont="1" applyBorder="1"/>
    <xf numFmtId="2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/>
    <xf numFmtId="167" fontId="0" fillId="0" borderId="1" xfId="0" applyNumberFormat="1" applyFill="1" applyBorder="1"/>
    <xf numFmtId="165" fontId="0" fillId="0" borderId="1" xfId="0" applyNumberFormat="1" applyFill="1" applyBorder="1"/>
    <xf numFmtId="164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3" borderId="1" xfId="0" applyNumberFormat="1" applyFill="1" applyBorder="1"/>
    <xf numFmtId="166" fontId="0" fillId="0" borderId="1" xfId="0" applyNumberFormat="1" applyFill="1" applyBorder="1" applyAlignment="1">
      <alignment horizontal="right" indent="2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11" fillId="4" borderId="0" xfId="0" applyFont="1" applyFill="1" applyAlignment="1">
      <alignment horizontal="center" vertical="center" wrapText="1"/>
    </xf>
    <xf numFmtId="0" fontId="10" fillId="5" borderId="17" xfId="2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6" fontId="0" fillId="3" borderId="1" xfId="0" applyNumberFormat="1" applyFill="1" applyBorder="1"/>
    <xf numFmtId="0" fontId="3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0" fillId="0" borderId="14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P-M</a:t>
            </a:r>
            <a:r>
              <a:rPr lang="en-US" baseline="0"/>
              <a:t> INTERACTION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0.9D-0.2Sds+1.0Exmax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3805346578872E-2"/>
                  <c:y val="7.84313872268562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B2-45A3-AB96-99F315A216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(X) (30")'!$W$8</c:f>
              <c:numCache>
                <c:formatCode>General</c:formatCode>
                <c:ptCount val="1"/>
                <c:pt idx="0">
                  <c:v>39175</c:v>
                </c:pt>
              </c:numCache>
            </c:numRef>
          </c:xVal>
          <c:yVal>
            <c:numRef>
              <c:f>'ID (X) (30")'!$V$8</c:f>
              <c:numCache>
                <c:formatCode>General</c:formatCode>
                <c:ptCount val="1"/>
                <c:pt idx="0">
                  <c:v>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4B2-45A3-AB96-99F315A21622}"/>
            </c:ext>
          </c:extLst>
        </c:ser>
        <c:ser>
          <c:idx val="2"/>
          <c:order val="2"/>
          <c:tx>
            <c:v>0.9D-0.2Sds+1.0Exmin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8724217507879882E-3"/>
                  <c:y val="-1.381548911915673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B2-45A3-AB96-99F315A216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(X) (30")'!$W$9</c:f>
              <c:numCache>
                <c:formatCode>General</c:formatCode>
                <c:ptCount val="1"/>
                <c:pt idx="0">
                  <c:v>-38835</c:v>
                </c:pt>
              </c:numCache>
            </c:numRef>
          </c:xVal>
          <c:yVal>
            <c:numRef>
              <c:f>'ID (X) (30")'!$V$9</c:f>
              <c:numCache>
                <c:formatCode>General</c:formatCode>
                <c:ptCount val="1"/>
                <c:pt idx="0">
                  <c:v>-13858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4B2-45A3-AB96-99F315A21622}"/>
            </c:ext>
          </c:extLst>
        </c:ser>
        <c:ser>
          <c:idx val="3"/>
          <c:order val="3"/>
          <c:tx>
            <c:v>1.2D+0.2Sds+0.5L+1.0ExMax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943112312075327E-2"/>
                  <c:y val="-3.5434411349218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B2-45A3-AB96-99F315A216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(X) (30")'!$W$10</c:f>
              <c:numCache>
                <c:formatCode>General</c:formatCode>
                <c:ptCount val="1"/>
                <c:pt idx="0">
                  <c:v>39418</c:v>
                </c:pt>
              </c:numCache>
            </c:numRef>
          </c:xVal>
          <c:yVal>
            <c:numRef>
              <c:f>'ID (X) (30")'!$V$10</c:f>
              <c:numCache>
                <c:formatCode>General</c:formatCode>
                <c:ptCount val="1"/>
                <c:pt idx="0">
                  <c:v>1522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4B2-45A3-AB96-99F315A21622}"/>
            </c:ext>
          </c:extLst>
        </c:ser>
        <c:ser>
          <c:idx val="4"/>
          <c:order val="4"/>
          <c:tx>
            <c:v>1.2D+0.2Sds+0.5L+1.0Exmin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574461483961704E-2"/>
                  <c:y val="-6.65478437076357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B2-45A3-AB96-99F315A216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(X) (30")'!$W$11</c:f>
              <c:numCache>
                <c:formatCode>General</c:formatCode>
                <c:ptCount val="1"/>
                <c:pt idx="0">
                  <c:v>-39418</c:v>
                </c:pt>
              </c:numCache>
            </c:numRef>
          </c:xVal>
          <c:yVal>
            <c:numRef>
              <c:f>'ID (X) (30")'!$V$11</c:f>
              <c:numCache>
                <c:formatCode>General</c:formatCode>
                <c:ptCount val="1"/>
                <c:pt idx="0">
                  <c:v>-19139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4B2-45A3-AB96-99F315A2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095"/>
        <c:axId val="1047434975"/>
      </c:scatterChart>
      <c:scatterChart>
        <c:scatterStyle val="smoothMarker"/>
        <c:varyColors val="0"/>
        <c:ser>
          <c:idx val="5"/>
          <c:order val="5"/>
          <c:tx>
            <c:v>C/Lw1=0.05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pos)'!$E$13:$E$20</c:f>
              <c:numCache>
                <c:formatCode>0</c:formatCode>
                <c:ptCount val="8"/>
                <c:pt idx="0">
                  <c:v>14004.429468750006</c:v>
                </c:pt>
                <c:pt idx="1">
                  <c:v>14004.429468750001</c:v>
                </c:pt>
                <c:pt idx="2">
                  <c:v>14004.429468750002</c:v>
                </c:pt>
                <c:pt idx="3">
                  <c:v>14004.429468749999</c:v>
                </c:pt>
                <c:pt idx="4">
                  <c:v>14004.429468750002</c:v>
                </c:pt>
              </c:numCache>
            </c:numRef>
          </c:xVal>
          <c:yVal>
            <c:numRef>
              <c:f>'c over Lw1 (Mu pos)'!$D$13:$D$20</c:f>
              <c:numCache>
                <c:formatCode>0</c:formatCode>
                <c:ptCount val="8"/>
                <c:pt idx="0">
                  <c:v>2882.3850000000007</c:v>
                </c:pt>
                <c:pt idx="1">
                  <c:v>5215.1849999999986</c:v>
                </c:pt>
                <c:pt idx="2">
                  <c:v>7547.9850000000015</c:v>
                </c:pt>
                <c:pt idx="3">
                  <c:v>9880.7849999999999</c:v>
                </c:pt>
                <c:pt idx="4">
                  <c:v>12213.584999999999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4B2-45A3-AB96-99F315A21622}"/>
            </c:ext>
          </c:extLst>
        </c:ser>
        <c:ser>
          <c:idx val="6"/>
          <c:order val="6"/>
          <c:tx>
            <c:v>C/Lw1=0.1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pos)'!$E$24:$E$31</c:f>
              <c:numCache>
                <c:formatCode>0</c:formatCode>
                <c:ptCount val="8"/>
                <c:pt idx="0">
                  <c:v>27158.585702401131</c:v>
                </c:pt>
                <c:pt idx="1">
                  <c:v>27158.585702401131</c:v>
                </c:pt>
                <c:pt idx="2">
                  <c:v>27158.585702401138</c:v>
                </c:pt>
                <c:pt idx="3">
                  <c:v>27158.585702401131</c:v>
                </c:pt>
                <c:pt idx="4">
                  <c:v>27158.585702401138</c:v>
                </c:pt>
              </c:numCache>
            </c:numRef>
          </c:xVal>
          <c:yVal>
            <c:numRef>
              <c:f>'c over Lw1 (Mu pos)'!$D$24:$D$31</c:f>
              <c:numCache>
                <c:formatCode>0</c:formatCode>
                <c:ptCount val="8"/>
                <c:pt idx="0">
                  <c:v>1102.7364299999999</c:v>
                </c:pt>
                <c:pt idx="1">
                  <c:v>3435.5364299999983</c:v>
                </c:pt>
                <c:pt idx="2">
                  <c:v>5768.3364300000012</c:v>
                </c:pt>
                <c:pt idx="3">
                  <c:v>8101.1364299999996</c:v>
                </c:pt>
                <c:pt idx="4">
                  <c:v>10433.936429999998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D4B2-45A3-AB96-99F315A21622}"/>
            </c:ext>
          </c:extLst>
        </c:ser>
        <c:ser>
          <c:idx val="7"/>
          <c:order val="7"/>
          <c:tx>
            <c:v>C/Lw1=0.15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pos)'!$E$34:$E$41</c:f>
              <c:numCache>
                <c:formatCode>0</c:formatCode>
                <c:ptCount val="8"/>
                <c:pt idx="0">
                  <c:v>42461.616306157222</c:v>
                </c:pt>
                <c:pt idx="1">
                  <c:v>43946.774135558582</c:v>
                </c:pt>
                <c:pt idx="2">
                  <c:v>45431.931964959935</c:v>
                </c:pt>
                <c:pt idx="3">
                  <c:v>46917.089794361309</c:v>
                </c:pt>
                <c:pt idx="4">
                  <c:v>48402.247623762669</c:v>
                </c:pt>
              </c:numCache>
            </c:numRef>
          </c:xVal>
          <c:yVal>
            <c:numRef>
              <c:f>'c over Lw1 (Mu pos)'!$D$34:$D$41</c:f>
              <c:numCache>
                <c:formatCode>0</c:formatCode>
                <c:ptCount val="8"/>
                <c:pt idx="0">
                  <c:v>-1253.9837196918395</c:v>
                </c:pt>
                <c:pt idx="1">
                  <c:v>790.2804904622393</c:v>
                </c:pt>
                <c:pt idx="2">
                  <c:v>2834.5447006163204</c:v>
                </c:pt>
                <c:pt idx="3">
                  <c:v>4878.8089107703991</c:v>
                </c:pt>
                <c:pt idx="4">
                  <c:v>6923.0731209244777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B2-45A3-AB96-99F315A21622}"/>
            </c:ext>
          </c:extLst>
        </c:ser>
        <c:ser>
          <c:idx val="8"/>
          <c:order val="8"/>
          <c:tx>
            <c:v>0.40%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(30")'!$U$59:$U$77</c:f>
              <c:numCache>
                <c:formatCode>0</c:formatCode>
                <c:ptCount val="19"/>
                <c:pt idx="0">
                  <c:v>2.8833430927625159</c:v>
                </c:pt>
                <c:pt idx="1">
                  <c:v>14004.429468750006</c:v>
                </c:pt>
                <c:pt idx="2">
                  <c:v>27158.585702401131</c:v>
                </c:pt>
                <c:pt idx="3">
                  <c:v>42461.616306157222</c:v>
                </c:pt>
                <c:pt idx="4">
                  <c:v>56501.488539757614</c:v>
                </c:pt>
                <c:pt idx="5">
                  <c:v>68708.885277853289</c:v>
                </c:pt>
                <c:pt idx="6">
                  <c:v>79589.15483683499</c:v>
                </c:pt>
                <c:pt idx="7">
                  <c:v>86326.4344170236</c:v>
                </c:pt>
                <c:pt idx="8">
                  <c:v>85927.855424299763</c:v>
                </c:pt>
                <c:pt idx="9">
                  <c:v>84675.241473119007</c:v>
                </c:pt>
                <c:pt idx="10">
                  <c:v>83251.899333179754</c:v>
                </c:pt>
                <c:pt idx="11">
                  <c:v>83391.721044036836</c:v>
                </c:pt>
                <c:pt idx="12">
                  <c:v>86545.048202855352</c:v>
                </c:pt>
                <c:pt idx="13">
                  <c:v>89168.835502145201</c:v>
                </c:pt>
                <c:pt idx="14">
                  <c:v>91249.429904801917</c:v>
                </c:pt>
                <c:pt idx="15">
                  <c:v>92776.818697266281</c:v>
                </c:pt>
                <c:pt idx="16">
                  <c:v>93763.805619974679</c:v>
                </c:pt>
                <c:pt idx="17">
                  <c:v>94147.113814204102</c:v>
                </c:pt>
                <c:pt idx="18">
                  <c:v>93957.07960664414</c:v>
                </c:pt>
              </c:numCache>
            </c:numRef>
          </c:xVal>
          <c:yVal>
            <c:numRef>
              <c:f>'ID (X) (30")'!$T$59:$T$77</c:f>
              <c:numCache>
                <c:formatCode>0</c:formatCode>
                <c:ptCount val="19"/>
                <c:pt idx="0">
                  <c:v>4665.2433570000012</c:v>
                </c:pt>
                <c:pt idx="1">
                  <c:v>2882.3850000000007</c:v>
                </c:pt>
                <c:pt idx="2">
                  <c:v>1102.7364299999999</c:v>
                </c:pt>
                <c:pt idx="3">
                  <c:v>-1253.9837196918395</c:v>
                </c:pt>
                <c:pt idx="4">
                  <c:v>-3524.887275036745</c:v>
                </c:pt>
                <c:pt idx="5">
                  <c:v>-5599.3675630041571</c:v>
                </c:pt>
                <c:pt idx="6">
                  <c:v>-7575.6034254184906</c:v>
                </c:pt>
                <c:pt idx="7">
                  <c:v>-9188.4179227837503</c:v>
                </c:pt>
                <c:pt idx="8">
                  <c:v>-10280.377963381607</c:v>
                </c:pt>
                <c:pt idx="9">
                  <c:v>-11476.221103706286</c:v>
                </c:pt>
                <c:pt idx="10">
                  <c:v>-12559.647189731248</c:v>
                </c:pt>
                <c:pt idx="11">
                  <c:v>-13721.608144505984</c:v>
                </c:pt>
                <c:pt idx="12">
                  <c:v>-15347.16363402786</c:v>
                </c:pt>
                <c:pt idx="13">
                  <c:v>-16920.380461861565</c:v>
                </c:pt>
                <c:pt idx="14">
                  <c:v>-18452.472450326732</c:v>
                </c:pt>
                <c:pt idx="15">
                  <c:v>-19951.663468583742</c:v>
                </c:pt>
                <c:pt idx="16">
                  <c:v>-21468.022479729734</c:v>
                </c:pt>
                <c:pt idx="17">
                  <c:v>-22920.750422098576</c:v>
                </c:pt>
                <c:pt idx="18">
                  <c:v>-24355.161648648653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76-4782-987A-0EA5BBA3C939}"/>
            </c:ext>
          </c:extLst>
        </c:ser>
        <c:ser>
          <c:idx val="9"/>
          <c:order val="9"/>
          <c:tx>
            <c:v>-0.40%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(30")'!$U$36:$U$54</c:f>
              <c:numCache>
                <c:formatCode>0</c:formatCode>
                <c:ptCount val="19"/>
                <c:pt idx="0">
                  <c:v>1.0913936421275138E-12</c:v>
                </c:pt>
                <c:pt idx="1">
                  <c:v>-9202.7013750000006</c:v>
                </c:pt>
                <c:pt idx="2">
                  <c:v>-18086.110875000002</c:v>
                </c:pt>
                <c:pt idx="3">
                  <c:v>-26650.228500000005</c:v>
                </c:pt>
                <c:pt idx="4">
                  <c:v>-35887.718925000008</c:v>
                </c:pt>
                <c:pt idx="5">
                  <c:v>-45862.516485</c:v>
                </c:pt>
                <c:pt idx="6">
                  <c:v>-54834.934275000007</c:v>
                </c:pt>
                <c:pt idx="7">
                  <c:v>-63097.724249999992</c:v>
                </c:pt>
                <c:pt idx="8">
                  <c:v>-70797.262387500014</c:v>
                </c:pt>
                <c:pt idx="9">
                  <c:v>-78103.344765000031</c:v>
                </c:pt>
                <c:pt idx="10">
                  <c:v>-85064.043006000022</c:v>
                </c:pt>
                <c:pt idx="11">
                  <c:v>-91590.608691818197</c:v>
                </c:pt>
                <c:pt idx="12">
                  <c:v>-97711.751992500023</c:v>
                </c:pt>
                <c:pt idx="13">
                  <c:v>-103447.34917961541</c:v>
                </c:pt>
                <c:pt idx="14">
                  <c:v>-108811.59759000002</c:v>
                </c:pt>
                <c:pt idx="15">
                  <c:v>-113814.908604</c:v>
                </c:pt>
                <c:pt idx="16">
                  <c:v>-118465.09075687506</c:v>
                </c:pt>
                <c:pt idx="17">
                  <c:v>-122768.11528147061</c:v>
                </c:pt>
                <c:pt idx="18">
                  <c:v>-126728.62647000006</c:v>
                </c:pt>
              </c:numCache>
            </c:numRef>
          </c:xVal>
          <c:yVal>
            <c:numRef>
              <c:f>'ID (X) (30")'!$T$36:$T$54</c:f>
              <c:numCache>
                <c:formatCode>0</c:formatCode>
                <c:ptCount val="19"/>
                <c:pt idx="0">
                  <c:v>4665.6000000000013</c:v>
                </c:pt>
                <c:pt idx="1">
                  <c:v>2111.2650000000003</c:v>
                </c:pt>
                <c:pt idx="2">
                  <c:v>-443.07000000000016</c:v>
                </c:pt>
                <c:pt idx="3">
                  <c:v>-2997.4049999999997</c:v>
                </c:pt>
                <c:pt idx="4">
                  <c:v>-5962.7340000000031</c:v>
                </c:pt>
                <c:pt idx="5">
                  <c:v>-9365.5277999999998</c:v>
                </c:pt>
                <c:pt idx="6">
                  <c:v>-12485.502000000002</c:v>
                </c:pt>
                <c:pt idx="7">
                  <c:v>-15443.865</c:v>
                </c:pt>
                <c:pt idx="8">
                  <c:v>-18301.221000000005</c:v>
                </c:pt>
                <c:pt idx="9">
                  <c:v>-21212.809200000007</c:v>
                </c:pt>
                <c:pt idx="10">
                  <c:v>-24197.841179999999</c:v>
                </c:pt>
                <c:pt idx="11">
                  <c:v>-27104.564618181819</c:v>
                </c:pt>
                <c:pt idx="12">
                  <c:v>-29952.556650000006</c:v>
                </c:pt>
                <c:pt idx="13">
                  <c:v>-32755.370676923078</c:v>
                </c:pt>
                <c:pt idx="14">
                  <c:v>-35522.687700000002</c:v>
                </c:pt>
                <c:pt idx="15">
                  <c:v>-38261.607119999993</c:v>
                </c:pt>
                <c:pt idx="16">
                  <c:v>-40977.45348750001</c:v>
                </c:pt>
                <c:pt idx="17">
                  <c:v>-43674.298517647061</c:v>
                </c:pt>
                <c:pt idx="18">
                  <c:v>-46355.309100000013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6-4782-987A-0EA5BBA3C939}"/>
            </c:ext>
          </c:extLst>
        </c:ser>
        <c:ser>
          <c:idx val="10"/>
          <c:order val="10"/>
          <c:tx>
            <c:v>-0.60%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(30")'!$U$87:$U$105</c:f>
              <c:numCache>
                <c:formatCode>0</c:formatCode>
                <c:ptCount val="19"/>
                <c:pt idx="0">
                  <c:v>-1.8724630766617336</c:v>
                </c:pt>
                <c:pt idx="1">
                  <c:v>-9202.7013750000006</c:v>
                </c:pt>
                <c:pt idx="2">
                  <c:v>-18086.110875000002</c:v>
                </c:pt>
                <c:pt idx="3">
                  <c:v>-26650.228500000005</c:v>
                </c:pt>
                <c:pt idx="4">
                  <c:v>-36384.051262500005</c:v>
                </c:pt>
                <c:pt idx="5">
                  <c:v>-47383.480665000003</c:v>
                </c:pt>
                <c:pt idx="6">
                  <c:v>-57038.986350000006</c:v>
                </c:pt>
                <c:pt idx="7">
                  <c:v>-65789.696249999994</c:v>
                </c:pt>
                <c:pt idx="8">
                  <c:v>-73855.174331250018</c:v>
                </c:pt>
                <c:pt idx="9">
                  <c:v>-81490.114710000023</c:v>
                </c:pt>
                <c:pt idx="10">
                  <c:v>-88766.624821500009</c:v>
                </c:pt>
                <c:pt idx="11">
                  <c:v>-95551.58203772729</c:v>
                </c:pt>
                <c:pt idx="12">
                  <c:v>-101888.05161375001</c:v>
                </c:pt>
                <c:pt idx="13">
                  <c:v>-107805.84795692308</c:v>
                </c:pt>
                <c:pt idx="14">
                  <c:v>-113326.26707250001</c:v>
                </c:pt>
                <c:pt idx="15">
                  <c:v>-118464.926031</c:v>
                </c:pt>
                <c:pt idx="16">
                  <c:v>-123233.53763531253</c:v>
                </c:pt>
                <c:pt idx="17">
                  <c:v>-127641.0587347059</c:v>
                </c:pt>
                <c:pt idx="18">
                  <c:v>-131694.45576750004</c:v>
                </c:pt>
              </c:numCache>
            </c:numRef>
          </c:xVal>
          <c:yVal>
            <c:numRef>
              <c:f>'ID (X) (30")'!$T$87:$T$105</c:f>
              <c:numCache>
                <c:formatCode>0</c:formatCode>
                <c:ptCount val="19"/>
                <c:pt idx="0">
                  <c:v>6997.8891329999997</c:v>
                </c:pt>
                <c:pt idx="1">
                  <c:v>4444.0649999999987</c:v>
                </c:pt>
                <c:pt idx="2">
                  <c:v>1889.7299999999982</c:v>
                </c:pt>
                <c:pt idx="3">
                  <c:v>-664.6050000000015</c:v>
                </c:pt>
                <c:pt idx="4">
                  <c:v>-3835.4310000000037</c:v>
                </c:pt>
                <c:pt idx="5">
                  <c:v>-7662.4542000000001</c:v>
                </c:pt>
                <c:pt idx="6">
                  <c:v>-11065.248000000001</c:v>
                </c:pt>
                <c:pt idx="7">
                  <c:v>-14225.625</c:v>
                </c:pt>
                <c:pt idx="8">
                  <c:v>-17234.491500000004</c:v>
                </c:pt>
                <c:pt idx="9">
                  <c:v>-20324.706300000005</c:v>
                </c:pt>
                <c:pt idx="10">
                  <c:v>-23525.086770000002</c:v>
                </c:pt>
                <c:pt idx="11">
                  <c:v>-26608.004427272728</c:v>
                </c:pt>
                <c:pt idx="12">
                  <c:v>-29602.824975000003</c:v>
                </c:pt>
                <c:pt idx="13">
                  <c:v>-32529.878515384622</c:v>
                </c:pt>
                <c:pt idx="14">
                  <c:v>-35403.686549999999</c:v>
                </c:pt>
                <c:pt idx="15">
                  <c:v>-38234.898179999989</c:v>
                </c:pt>
                <c:pt idx="16">
                  <c:v>-41031.500231250007</c:v>
                </c:pt>
                <c:pt idx="17">
                  <c:v>-43799.600276470592</c:v>
                </c:pt>
                <c:pt idx="18">
                  <c:v>-46543.948650000006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76-4782-987A-0EA5BBA3C939}"/>
            </c:ext>
          </c:extLst>
        </c:ser>
        <c:ser>
          <c:idx val="11"/>
          <c:order val="11"/>
          <c:tx>
            <c:v>0.60%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(30")'!$U$110:$U$128</c:f>
              <c:numCache>
                <c:formatCode>0</c:formatCode>
                <c:ptCount val="19"/>
                <c:pt idx="0">
                  <c:v>2.8833430927625159</c:v>
                </c:pt>
                <c:pt idx="1">
                  <c:v>14004.429468750001</c:v>
                </c:pt>
                <c:pt idx="2">
                  <c:v>27158.585702401131</c:v>
                </c:pt>
                <c:pt idx="3">
                  <c:v>43946.774135558582</c:v>
                </c:pt>
                <c:pt idx="4">
                  <c:v>59250.94565783134</c:v>
                </c:pt>
                <c:pt idx="5">
                  <c:v>72217.124581195938</c:v>
                </c:pt>
                <c:pt idx="6">
                  <c:v>83603.333380238371</c:v>
                </c:pt>
                <c:pt idx="7">
                  <c:v>90548.982885684323</c:v>
                </c:pt>
                <c:pt idx="8">
                  <c:v>89901.345434944596</c:v>
                </c:pt>
                <c:pt idx="9">
                  <c:v>88079.138676535847</c:v>
                </c:pt>
                <c:pt idx="10">
                  <c:v>86107.322765005738</c:v>
                </c:pt>
                <c:pt idx="11">
                  <c:v>85877.727688827115</c:v>
                </c:pt>
                <c:pt idx="12">
                  <c:v>88823.922218533888</c:v>
                </c:pt>
                <c:pt idx="13">
                  <c:v>91272.438535421839</c:v>
                </c:pt>
                <c:pt idx="14">
                  <c:v>93202.79708383423</c:v>
                </c:pt>
                <c:pt idx="15">
                  <c:v>94599.978793432252</c:v>
                </c:pt>
                <c:pt idx="16">
                  <c:v>95469.827679961993</c:v>
                </c:pt>
                <c:pt idx="17">
                  <c:v>95752.78163536865</c:v>
                </c:pt>
                <c:pt idx="18">
                  <c:v>95473.543659966206</c:v>
                </c:pt>
              </c:numCache>
            </c:numRef>
          </c:xVal>
          <c:yVal>
            <c:numRef>
              <c:f>'ID (X) (30")'!$T$110:$T$128</c:f>
              <c:numCache>
                <c:formatCode>0</c:formatCode>
                <c:ptCount val="19"/>
                <c:pt idx="0">
                  <c:v>6998.0433569999996</c:v>
                </c:pt>
                <c:pt idx="1">
                  <c:v>5215.1849999999986</c:v>
                </c:pt>
                <c:pt idx="2">
                  <c:v>3435.5364299999983</c:v>
                </c:pt>
                <c:pt idx="3">
                  <c:v>790.2804904622393</c:v>
                </c:pt>
                <c:pt idx="4">
                  <c:v>-1726.250557555119</c:v>
                </c:pt>
                <c:pt idx="5">
                  <c:v>-3948.1467045062373</c:v>
                </c:pt>
                <c:pt idx="6">
                  <c:v>-6022.6762131277355</c:v>
                </c:pt>
                <c:pt idx="7">
                  <c:v>-7762.8107741756248</c:v>
                </c:pt>
                <c:pt idx="8">
                  <c:v>-9170.0556500724106</c:v>
                </c:pt>
                <c:pt idx="9">
                  <c:v>-10733.125175559429</c:v>
                </c:pt>
                <c:pt idx="10">
                  <c:v>-12127.56911959687</c:v>
                </c:pt>
                <c:pt idx="11">
                  <c:v>-13511.964741758973</c:v>
                </c:pt>
                <c:pt idx="12">
                  <c:v>-15307.647103541791</c:v>
                </c:pt>
                <c:pt idx="13">
                  <c:v>-17024.821472792348</c:v>
                </c:pt>
                <c:pt idx="14">
                  <c:v>-18680.308582990092</c:v>
                </c:pt>
                <c:pt idx="15">
                  <c:v>-20286.44423787561</c:v>
                </c:pt>
                <c:pt idx="16">
                  <c:v>-21899.013719594601</c:v>
                </c:pt>
                <c:pt idx="17">
                  <c:v>-23434.16688314786</c:v>
                </c:pt>
                <c:pt idx="18">
                  <c:v>-24941.844972972976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76-4782-987A-0EA5BBA3C939}"/>
            </c:ext>
          </c:extLst>
        </c:ser>
        <c:ser>
          <c:idx val="12"/>
          <c:order val="12"/>
          <c:tx>
            <c:v>-0.80%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(30")'!$U$138:$U$156</c:f>
              <c:numCache>
                <c:formatCode>0</c:formatCode>
                <c:ptCount val="19"/>
                <c:pt idx="0">
                  <c:v>-1.8724630766606425</c:v>
                </c:pt>
                <c:pt idx="1">
                  <c:v>-9202.7013749999987</c:v>
                </c:pt>
                <c:pt idx="2">
                  <c:v>-18086.110875000002</c:v>
                </c:pt>
                <c:pt idx="3">
                  <c:v>-26650.228500000001</c:v>
                </c:pt>
                <c:pt idx="4">
                  <c:v>-36880.383600000008</c:v>
                </c:pt>
                <c:pt idx="5">
                  <c:v>-48904.444845000005</c:v>
                </c:pt>
                <c:pt idx="6">
                  <c:v>-59243.038425000013</c:v>
                </c:pt>
                <c:pt idx="7">
                  <c:v>-68481.668250000002</c:v>
                </c:pt>
                <c:pt idx="8">
                  <c:v>-76913.086275000023</c:v>
                </c:pt>
                <c:pt idx="9">
                  <c:v>-84876.884655000031</c:v>
                </c:pt>
                <c:pt idx="10">
                  <c:v>-92469.206636999996</c:v>
                </c:pt>
                <c:pt idx="11">
                  <c:v>-99512.555383636369</c:v>
                </c:pt>
                <c:pt idx="12">
                  <c:v>-106064.35123500001</c:v>
                </c:pt>
                <c:pt idx="13">
                  <c:v>-112164.3467342308</c:v>
                </c:pt>
                <c:pt idx="14">
                  <c:v>-117840.93655499999</c:v>
                </c:pt>
                <c:pt idx="15">
                  <c:v>-123114.94345800001</c:v>
                </c:pt>
                <c:pt idx="16">
                  <c:v>-128001.98451375002</c:v>
                </c:pt>
                <c:pt idx="17">
                  <c:v>-132514.00218794119</c:v>
                </c:pt>
                <c:pt idx="18">
                  <c:v>-136660.28506500003</c:v>
                </c:pt>
              </c:numCache>
            </c:numRef>
          </c:xVal>
          <c:yVal>
            <c:numRef>
              <c:f>'ID (X) (30")'!$T$138:$T$156</c:f>
              <c:numCache>
                <c:formatCode>0</c:formatCode>
                <c:ptCount val="19"/>
                <c:pt idx="0">
                  <c:v>9330.6891330000017</c:v>
                </c:pt>
                <c:pt idx="1">
                  <c:v>6776.8650000000016</c:v>
                </c:pt>
                <c:pt idx="2">
                  <c:v>4222.5300000000007</c:v>
                </c:pt>
                <c:pt idx="3">
                  <c:v>1668.1950000000011</c:v>
                </c:pt>
                <c:pt idx="4">
                  <c:v>-1708.1280000000033</c:v>
                </c:pt>
                <c:pt idx="5">
                  <c:v>-5959.3805999999995</c:v>
                </c:pt>
                <c:pt idx="6">
                  <c:v>-9644.9940000000024</c:v>
                </c:pt>
                <c:pt idx="7">
                  <c:v>-13007.384999999998</c:v>
                </c:pt>
                <c:pt idx="8">
                  <c:v>-16167.762000000004</c:v>
                </c:pt>
                <c:pt idx="9">
                  <c:v>-19436.603400000007</c:v>
                </c:pt>
                <c:pt idx="10">
                  <c:v>-22852.33236</c:v>
                </c:pt>
                <c:pt idx="11">
                  <c:v>-26111.444236363637</c:v>
                </c:pt>
                <c:pt idx="12">
                  <c:v>-29253.0933</c:v>
                </c:pt>
                <c:pt idx="13">
                  <c:v>-32304.386353846159</c:v>
                </c:pt>
                <c:pt idx="14">
                  <c:v>-35284.685400000002</c:v>
                </c:pt>
                <c:pt idx="15">
                  <c:v>-38208.189239999992</c:v>
                </c:pt>
                <c:pt idx="16">
                  <c:v>-41085.546975000012</c:v>
                </c:pt>
                <c:pt idx="17">
                  <c:v>-43924.902035294122</c:v>
                </c:pt>
                <c:pt idx="18">
                  <c:v>-46732.588200000013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76-4782-987A-0EA5BBA3C939}"/>
            </c:ext>
          </c:extLst>
        </c:ser>
        <c:ser>
          <c:idx val="13"/>
          <c:order val="13"/>
          <c:tx>
            <c:v>0.80%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(30")'!$U$161:$U$178</c:f>
              <c:numCache>
                <c:formatCode>0</c:formatCode>
                <c:ptCount val="18"/>
                <c:pt idx="0">
                  <c:v>2.8833430927625159</c:v>
                </c:pt>
                <c:pt idx="1">
                  <c:v>14004.429468750002</c:v>
                </c:pt>
                <c:pt idx="2">
                  <c:v>27158.585702401138</c:v>
                </c:pt>
                <c:pt idx="3">
                  <c:v>45431.931964959935</c:v>
                </c:pt>
                <c:pt idx="4">
                  <c:v>62000.40277590508</c:v>
                </c:pt>
                <c:pt idx="5">
                  <c:v>75725.363884538587</c:v>
                </c:pt>
                <c:pt idx="6">
                  <c:v>87617.511923641825</c:v>
                </c:pt>
                <c:pt idx="7">
                  <c:v>94771.531354345047</c:v>
                </c:pt>
                <c:pt idx="8">
                  <c:v>93874.83544558943</c:v>
                </c:pt>
                <c:pt idx="9">
                  <c:v>91483.035879952688</c:v>
                </c:pt>
                <c:pt idx="10">
                  <c:v>88962.746196831693</c:v>
                </c:pt>
                <c:pt idx="11">
                  <c:v>88363.73433361738</c:v>
                </c:pt>
                <c:pt idx="12">
                  <c:v>91102.796234212394</c:v>
                </c:pt>
                <c:pt idx="13">
                  <c:v>93376.041568698434</c:v>
                </c:pt>
                <c:pt idx="14">
                  <c:v>95156.164262866514</c:v>
                </c:pt>
                <c:pt idx="15">
                  <c:v>96423.138889598253</c:v>
                </c:pt>
                <c:pt idx="16">
                  <c:v>97175.849739949321</c:v>
                </c:pt>
                <c:pt idx="17">
                  <c:v>96990.007713288302</c:v>
                </c:pt>
              </c:numCache>
            </c:numRef>
          </c:xVal>
          <c:yVal>
            <c:numRef>
              <c:f>'ID (X) (30")'!$T$161:$T$178</c:f>
              <c:numCache>
                <c:formatCode>0</c:formatCode>
                <c:ptCount val="18"/>
                <c:pt idx="0">
                  <c:v>9330.8433570000034</c:v>
                </c:pt>
                <c:pt idx="1">
                  <c:v>7547.9850000000015</c:v>
                </c:pt>
                <c:pt idx="2">
                  <c:v>5768.3364300000012</c:v>
                </c:pt>
                <c:pt idx="3">
                  <c:v>2834.5447006163204</c:v>
                </c:pt>
                <c:pt idx="4">
                  <c:v>72.386159926510942</c:v>
                </c:pt>
                <c:pt idx="5">
                  <c:v>-2296.9258460083147</c:v>
                </c:pt>
                <c:pt idx="6">
                  <c:v>-4469.7490008369796</c:v>
                </c:pt>
                <c:pt idx="7">
                  <c:v>-6337.2036255674993</c:v>
                </c:pt>
                <c:pt idx="8">
                  <c:v>-8059.7333367632127</c:v>
                </c:pt>
                <c:pt idx="9">
                  <c:v>-9990.0292474125727</c:v>
                </c:pt>
                <c:pt idx="10">
                  <c:v>-11695.491049462495</c:v>
                </c:pt>
                <c:pt idx="11">
                  <c:v>-13302.321339011964</c:v>
                </c:pt>
                <c:pt idx="12">
                  <c:v>-15268.130573055718</c:v>
                </c:pt>
                <c:pt idx="13">
                  <c:v>-17129.262483723134</c:v>
                </c:pt>
                <c:pt idx="14">
                  <c:v>-18908.14471565346</c:v>
                </c:pt>
                <c:pt idx="15">
                  <c:v>-20621.225007167479</c:v>
                </c:pt>
                <c:pt idx="16">
                  <c:v>-22330.004959459467</c:v>
                </c:pt>
                <c:pt idx="17">
                  <c:v>-25528.528297297304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76-4782-987A-0EA5BBA3C939}"/>
            </c:ext>
          </c:extLst>
        </c:ser>
        <c:ser>
          <c:idx val="14"/>
          <c:order val="14"/>
          <c:tx>
            <c:v>-1%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(30")'!$U$188:$U$206</c:f>
              <c:numCache>
                <c:formatCode>0</c:formatCode>
                <c:ptCount val="19"/>
                <c:pt idx="0">
                  <c:v>-1.8724630766606425</c:v>
                </c:pt>
                <c:pt idx="1">
                  <c:v>-9202.7013749999987</c:v>
                </c:pt>
                <c:pt idx="2">
                  <c:v>-18086.110875000002</c:v>
                </c:pt>
                <c:pt idx="3">
                  <c:v>-26650.228500000001</c:v>
                </c:pt>
                <c:pt idx="4">
                  <c:v>-37376.715937500012</c:v>
                </c:pt>
                <c:pt idx="5">
                  <c:v>-50425.409025000008</c:v>
                </c:pt>
                <c:pt idx="6">
                  <c:v>-61447.090500000013</c:v>
                </c:pt>
                <c:pt idx="7">
                  <c:v>-71173.640249999997</c:v>
                </c:pt>
                <c:pt idx="8">
                  <c:v>-79970.998218750028</c:v>
                </c:pt>
                <c:pt idx="9">
                  <c:v>-88263.654600000023</c:v>
                </c:pt>
                <c:pt idx="10">
                  <c:v>-96171.788452499997</c:v>
                </c:pt>
                <c:pt idx="11">
                  <c:v>-103473.52872954546</c:v>
                </c:pt>
                <c:pt idx="12">
                  <c:v>-110240.65085625002</c:v>
                </c:pt>
                <c:pt idx="13">
                  <c:v>-116522.84551153847</c:v>
                </c:pt>
                <c:pt idx="14">
                  <c:v>-122355.60603749999</c:v>
                </c:pt>
                <c:pt idx="15">
                  <c:v>-127764.96088499999</c:v>
                </c:pt>
                <c:pt idx="16">
                  <c:v>-132770.43139218754</c:v>
                </c:pt>
                <c:pt idx="17">
                  <c:v>-137386.94564117648</c:v>
                </c:pt>
                <c:pt idx="18">
                  <c:v>-141626.11436250003</c:v>
                </c:pt>
              </c:numCache>
            </c:numRef>
          </c:xVal>
          <c:yVal>
            <c:numRef>
              <c:f>'ID (X) (30")'!$T$188:$T$206</c:f>
              <c:numCache>
                <c:formatCode>0</c:formatCode>
                <c:ptCount val="19"/>
                <c:pt idx="0">
                  <c:v>11663.489133000001</c:v>
                </c:pt>
                <c:pt idx="1">
                  <c:v>9109.6649999999991</c:v>
                </c:pt>
                <c:pt idx="2">
                  <c:v>6555.329999999999</c:v>
                </c:pt>
                <c:pt idx="3">
                  <c:v>4000.9949999999994</c:v>
                </c:pt>
                <c:pt idx="4">
                  <c:v>419.17499999999671</c:v>
                </c:pt>
                <c:pt idx="5">
                  <c:v>-4256.3069999999998</c:v>
                </c:pt>
                <c:pt idx="6">
                  <c:v>-8224.7400000000016</c:v>
                </c:pt>
                <c:pt idx="7">
                  <c:v>-11789.145</c:v>
                </c:pt>
                <c:pt idx="8">
                  <c:v>-15101.032500000007</c:v>
                </c:pt>
                <c:pt idx="9">
                  <c:v>-18548.500500000006</c:v>
                </c:pt>
                <c:pt idx="10">
                  <c:v>-22179.577950000003</c:v>
                </c:pt>
                <c:pt idx="11">
                  <c:v>-25614.88404545455</c:v>
                </c:pt>
                <c:pt idx="12">
                  <c:v>-28903.361625000001</c:v>
                </c:pt>
                <c:pt idx="13">
                  <c:v>-32078.894192307696</c:v>
                </c:pt>
                <c:pt idx="14">
                  <c:v>-35165.684249999998</c:v>
                </c:pt>
                <c:pt idx="15">
                  <c:v>-38181.480299999996</c:v>
                </c:pt>
                <c:pt idx="16">
                  <c:v>-41139.593718750009</c:v>
                </c:pt>
                <c:pt idx="17">
                  <c:v>-44050.203794117653</c:v>
                </c:pt>
                <c:pt idx="18">
                  <c:v>-46921.227750000013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76-4782-987A-0EA5BBA3C939}"/>
            </c:ext>
          </c:extLst>
        </c:ser>
        <c:ser>
          <c:idx val="15"/>
          <c:order val="15"/>
          <c:tx>
            <c:v>1%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(30")'!$U$211:$U$229</c:f>
              <c:numCache>
                <c:formatCode>0</c:formatCode>
                <c:ptCount val="19"/>
                <c:pt idx="0">
                  <c:v>2.8833430927625159</c:v>
                </c:pt>
                <c:pt idx="1">
                  <c:v>14004.429468749999</c:v>
                </c:pt>
                <c:pt idx="2">
                  <c:v>27158.585702401131</c:v>
                </c:pt>
                <c:pt idx="3">
                  <c:v>46917.089794361309</c:v>
                </c:pt>
                <c:pt idx="4">
                  <c:v>64749.859893978813</c:v>
                </c:pt>
                <c:pt idx="5">
                  <c:v>79233.603187881221</c:v>
                </c:pt>
                <c:pt idx="6">
                  <c:v>91631.690467045235</c:v>
                </c:pt>
                <c:pt idx="7">
                  <c:v>98994.07982300577</c:v>
                </c:pt>
                <c:pt idx="8">
                  <c:v>97848.325456234248</c:v>
                </c:pt>
                <c:pt idx="9">
                  <c:v>94886.933083369498</c:v>
                </c:pt>
                <c:pt idx="10">
                  <c:v>91818.169628657692</c:v>
                </c:pt>
                <c:pt idx="11">
                  <c:v>90849.740978407674</c:v>
                </c:pt>
                <c:pt idx="12">
                  <c:v>93381.670249890914</c:v>
                </c:pt>
                <c:pt idx="13">
                  <c:v>95479.644601975044</c:v>
                </c:pt>
                <c:pt idx="14">
                  <c:v>97109.531441898813</c:v>
                </c:pt>
                <c:pt idx="15">
                  <c:v>98246.298985764253</c:v>
                </c:pt>
                <c:pt idx="16">
                  <c:v>98881.871799936649</c:v>
                </c:pt>
                <c:pt idx="17">
                  <c:v>98964.117277697733</c:v>
                </c:pt>
                <c:pt idx="18">
                  <c:v>98506.471766610368</c:v>
                </c:pt>
              </c:numCache>
            </c:numRef>
          </c:xVal>
          <c:yVal>
            <c:numRef>
              <c:f>'ID (X) (30")'!$T$211:$T$229</c:f>
              <c:numCache>
                <c:formatCode>0</c:formatCode>
                <c:ptCount val="19"/>
                <c:pt idx="0">
                  <c:v>11663.643357000001</c:v>
                </c:pt>
                <c:pt idx="1">
                  <c:v>9880.7849999999999</c:v>
                </c:pt>
                <c:pt idx="2">
                  <c:v>8101.1364299999996</c:v>
                </c:pt>
                <c:pt idx="3">
                  <c:v>4878.8089107703991</c:v>
                </c:pt>
                <c:pt idx="4">
                  <c:v>1871.0228774081377</c:v>
                </c:pt>
                <c:pt idx="5">
                  <c:v>-645.70498751039361</c:v>
                </c:pt>
                <c:pt idx="6">
                  <c:v>-2916.8217885462259</c:v>
                </c:pt>
                <c:pt idx="7">
                  <c:v>-4911.5964769593738</c:v>
                </c:pt>
                <c:pt idx="8">
                  <c:v>-6949.4110234540167</c:v>
                </c:pt>
                <c:pt idx="9">
                  <c:v>-9246.9333192657159</c:v>
                </c:pt>
                <c:pt idx="10">
                  <c:v>-11263.412979328117</c:v>
                </c:pt>
                <c:pt idx="11">
                  <c:v>-13092.677936264956</c:v>
                </c:pt>
                <c:pt idx="12">
                  <c:v>-15228.614042569647</c:v>
                </c:pt>
                <c:pt idx="13">
                  <c:v>-17233.703494653917</c:v>
                </c:pt>
                <c:pt idx="14">
                  <c:v>-19135.98084831682</c:v>
                </c:pt>
                <c:pt idx="15">
                  <c:v>-20956.005776459344</c:v>
                </c:pt>
                <c:pt idx="16">
                  <c:v>-22760.996199324327</c:v>
                </c:pt>
                <c:pt idx="17">
                  <c:v>-24460.999805246425</c:v>
                </c:pt>
                <c:pt idx="18">
                  <c:v>-26115.211621621624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76-4782-987A-0EA5BBA3C939}"/>
            </c:ext>
          </c:extLst>
        </c:ser>
        <c:ser>
          <c:idx val="16"/>
          <c:order val="16"/>
          <c:tx>
            <c:v>-1.20%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(30")'!$U$239:$U$257</c:f>
              <c:numCache>
                <c:formatCode>0</c:formatCode>
                <c:ptCount val="19"/>
                <c:pt idx="0">
                  <c:v>-1.8724630766606425</c:v>
                </c:pt>
                <c:pt idx="1">
                  <c:v>-9202.7013749999987</c:v>
                </c:pt>
                <c:pt idx="2">
                  <c:v>-18086.110875000002</c:v>
                </c:pt>
                <c:pt idx="3">
                  <c:v>-26650.228500000001</c:v>
                </c:pt>
                <c:pt idx="4">
                  <c:v>-37873.048275000016</c:v>
                </c:pt>
                <c:pt idx="5">
                  <c:v>-51946.373205000004</c:v>
                </c:pt>
                <c:pt idx="6">
                  <c:v>-63651.142575000005</c:v>
                </c:pt>
                <c:pt idx="7">
                  <c:v>-73865.612250000006</c:v>
                </c:pt>
                <c:pt idx="8">
                  <c:v>-83028.910162500033</c:v>
                </c:pt>
                <c:pt idx="9">
                  <c:v>-91650.424545000031</c:v>
                </c:pt>
                <c:pt idx="10">
                  <c:v>-99874.370268000013</c:v>
                </c:pt>
                <c:pt idx="11">
                  <c:v>-107434.50207545455</c:v>
                </c:pt>
                <c:pt idx="12">
                  <c:v>-114416.95047750001</c:v>
                </c:pt>
                <c:pt idx="13">
                  <c:v>-120881.34428884617</c:v>
                </c:pt>
                <c:pt idx="14">
                  <c:v>-126870.27552</c:v>
                </c:pt>
                <c:pt idx="15">
                  <c:v>-132414.97831199999</c:v>
                </c:pt>
                <c:pt idx="16">
                  <c:v>-137538.87827062505</c:v>
                </c:pt>
                <c:pt idx="17">
                  <c:v>-142259.8890944118</c:v>
                </c:pt>
                <c:pt idx="18">
                  <c:v>-146591.94366000005</c:v>
                </c:pt>
              </c:numCache>
            </c:numRef>
          </c:xVal>
          <c:yVal>
            <c:numRef>
              <c:f>'ID (X) (30")'!$T$239:$T$257</c:f>
              <c:numCache>
                <c:formatCode>0</c:formatCode>
                <c:ptCount val="19"/>
                <c:pt idx="0">
                  <c:v>13996.289132999998</c:v>
                </c:pt>
                <c:pt idx="1">
                  <c:v>11442.464999999998</c:v>
                </c:pt>
                <c:pt idx="2">
                  <c:v>8888.1299999999974</c:v>
                </c:pt>
                <c:pt idx="3">
                  <c:v>6333.7949999999983</c:v>
                </c:pt>
                <c:pt idx="4">
                  <c:v>2546.4779999999951</c:v>
                </c:pt>
                <c:pt idx="5">
                  <c:v>-2553.2334000000014</c:v>
                </c:pt>
                <c:pt idx="6">
                  <c:v>-6804.4860000000026</c:v>
                </c:pt>
                <c:pt idx="7">
                  <c:v>-10570.905000000001</c:v>
                </c:pt>
                <c:pt idx="8">
                  <c:v>-14034.303000000005</c:v>
                </c:pt>
                <c:pt idx="9">
                  <c:v>-17660.397600000008</c:v>
                </c:pt>
                <c:pt idx="10">
                  <c:v>-21506.823540000001</c:v>
                </c:pt>
                <c:pt idx="11">
                  <c:v>-25118.323854545459</c:v>
                </c:pt>
                <c:pt idx="12">
                  <c:v>-28553.629950000002</c:v>
                </c:pt>
                <c:pt idx="13">
                  <c:v>-31853.402030769234</c:v>
                </c:pt>
                <c:pt idx="14">
                  <c:v>-35046.683100000002</c:v>
                </c:pt>
                <c:pt idx="15">
                  <c:v>-38154.771359999992</c:v>
                </c:pt>
                <c:pt idx="16">
                  <c:v>-41193.640462500014</c:v>
                </c:pt>
                <c:pt idx="17">
                  <c:v>-44175.505552941177</c:v>
                </c:pt>
                <c:pt idx="18">
                  <c:v>-47109.867300000013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776-4782-987A-0EA5BBA3C939}"/>
            </c:ext>
          </c:extLst>
        </c:ser>
        <c:ser>
          <c:idx val="17"/>
          <c:order val="17"/>
          <c:tx>
            <c:v>1.20%</c:v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 (X) (30")'!$U$262:$U$280</c:f>
              <c:numCache>
                <c:formatCode>0</c:formatCode>
                <c:ptCount val="19"/>
                <c:pt idx="0">
                  <c:v>2.8833430927625159</c:v>
                </c:pt>
                <c:pt idx="1">
                  <c:v>14004.429468750002</c:v>
                </c:pt>
                <c:pt idx="2">
                  <c:v>27158.585702401138</c:v>
                </c:pt>
                <c:pt idx="3">
                  <c:v>48402.247623762669</c:v>
                </c:pt>
                <c:pt idx="4">
                  <c:v>67499.317012052546</c:v>
                </c:pt>
                <c:pt idx="5">
                  <c:v>82741.84249122387</c:v>
                </c:pt>
                <c:pt idx="6">
                  <c:v>95645.86901044866</c:v>
                </c:pt>
                <c:pt idx="7">
                  <c:v>103216.62829166646</c:v>
                </c:pt>
                <c:pt idx="8">
                  <c:v>101821.81546687908</c:v>
                </c:pt>
                <c:pt idx="9">
                  <c:v>98290.830286786353</c:v>
                </c:pt>
                <c:pt idx="10">
                  <c:v>94673.593060483676</c:v>
                </c:pt>
                <c:pt idx="11">
                  <c:v>93335.747623197953</c:v>
                </c:pt>
                <c:pt idx="12">
                  <c:v>95660.544265569421</c:v>
                </c:pt>
                <c:pt idx="13">
                  <c:v>97583.247635251639</c:v>
                </c:pt>
                <c:pt idx="14">
                  <c:v>99062.898620931097</c:v>
                </c:pt>
                <c:pt idx="15">
                  <c:v>100069.45908193024</c:v>
                </c:pt>
                <c:pt idx="16">
                  <c:v>100587.89385992401</c:v>
                </c:pt>
                <c:pt idx="17">
                  <c:v>100569.78509886227</c:v>
                </c:pt>
                <c:pt idx="18">
                  <c:v>100022.93581993242</c:v>
                </c:pt>
              </c:numCache>
            </c:numRef>
          </c:xVal>
          <c:yVal>
            <c:numRef>
              <c:f>'ID (X) (30")'!$T$262:$T$280</c:f>
              <c:numCache>
                <c:formatCode>0</c:formatCode>
                <c:ptCount val="19"/>
                <c:pt idx="0">
                  <c:v>13996.443357</c:v>
                </c:pt>
                <c:pt idx="1">
                  <c:v>12213.584999999999</c:v>
                </c:pt>
                <c:pt idx="2">
                  <c:v>10433.936429999998</c:v>
                </c:pt>
                <c:pt idx="3">
                  <c:v>6923.0731209244777</c:v>
                </c:pt>
                <c:pt idx="4">
                  <c:v>3669.6595948897634</c:v>
                </c:pt>
                <c:pt idx="5">
                  <c:v>1005.5158709875258</c:v>
                </c:pt>
                <c:pt idx="6">
                  <c:v>-1363.8945762554711</c:v>
                </c:pt>
                <c:pt idx="7">
                  <c:v>-3485.9893283512492</c:v>
                </c:pt>
                <c:pt idx="8">
                  <c:v>-5839.0887101448207</c:v>
                </c:pt>
                <c:pt idx="9">
                  <c:v>-8503.8373911188592</c:v>
                </c:pt>
                <c:pt idx="10">
                  <c:v>-10831.334909193742</c:v>
                </c:pt>
                <c:pt idx="11">
                  <c:v>-12883.034533517946</c:v>
                </c:pt>
                <c:pt idx="12">
                  <c:v>-15189.097512083574</c:v>
                </c:pt>
                <c:pt idx="13">
                  <c:v>-17338.144505584696</c:v>
                </c:pt>
                <c:pt idx="14">
                  <c:v>-19363.816980980184</c:v>
                </c:pt>
                <c:pt idx="15">
                  <c:v>-21290.786545751213</c:v>
                </c:pt>
                <c:pt idx="16">
                  <c:v>-23191.987439189194</c:v>
                </c:pt>
                <c:pt idx="17">
                  <c:v>-24974.41626629571</c:v>
                </c:pt>
                <c:pt idx="18">
                  <c:v>-26701.894945945947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776-4782-987A-0EA5BBA3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095"/>
        <c:axId val="1047434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P-M INTERACTION CURVES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'ID (X) (30")'!$U$36:$U$433</c15:sqref>
                        </c15:formulaRef>
                      </c:ext>
                    </c:extLst>
                    <c:numCache>
                      <c:formatCode>0</c:formatCode>
                      <c:ptCount val="398"/>
                      <c:pt idx="0">
                        <c:v>1.0913936421275138E-12</c:v>
                      </c:pt>
                      <c:pt idx="1">
                        <c:v>-9202.7013750000006</c:v>
                      </c:pt>
                      <c:pt idx="2">
                        <c:v>-18086.110875000002</c:v>
                      </c:pt>
                      <c:pt idx="3">
                        <c:v>-26650.228500000005</c:v>
                      </c:pt>
                      <c:pt idx="4">
                        <c:v>-35887.718925000008</c:v>
                      </c:pt>
                      <c:pt idx="5">
                        <c:v>-45862.516485</c:v>
                      </c:pt>
                      <c:pt idx="6">
                        <c:v>-54834.934275000007</c:v>
                      </c:pt>
                      <c:pt idx="7">
                        <c:v>-63097.724249999992</c:v>
                      </c:pt>
                      <c:pt idx="8">
                        <c:v>-70797.262387500014</c:v>
                      </c:pt>
                      <c:pt idx="9">
                        <c:v>-78103.344765000031</c:v>
                      </c:pt>
                      <c:pt idx="10">
                        <c:v>-85064.043006000022</c:v>
                      </c:pt>
                      <c:pt idx="11">
                        <c:v>-91590.608691818197</c:v>
                      </c:pt>
                      <c:pt idx="12">
                        <c:v>-97711.751992500023</c:v>
                      </c:pt>
                      <c:pt idx="13">
                        <c:v>-103447.34917961541</c:v>
                      </c:pt>
                      <c:pt idx="14">
                        <c:v>-108811.59759000002</c:v>
                      </c:pt>
                      <c:pt idx="15">
                        <c:v>-113814.908604</c:v>
                      </c:pt>
                      <c:pt idx="16">
                        <c:v>-118465.09075687506</c:v>
                      </c:pt>
                      <c:pt idx="17">
                        <c:v>-122768.11528147061</c:v>
                      </c:pt>
                      <c:pt idx="18">
                        <c:v>-126728.62647000006</c:v>
                      </c:pt>
                      <c:pt idx="23">
                        <c:v>2.8833430927625159</c:v>
                      </c:pt>
                      <c:pt idx="24">
                        <c:v>14004.429468750006</c:v>
                      </c:pt>
                      <c:pt idx="25">
                        <c:v>27158.585702401131</c:v>
                      </c:pt>
                      <c:pt idx="26">
                        <c:v>42461.616306157222</c:v>
                      </c:pt>
                      <c:pt idx="27">
                        <c:v>56501.488539757614</c:v>
                      </c:pt>
                      <c:pt idx="28">
                        <c:v>68708.885277853289</c:v>
                      </c:pt>
                      <c:pt idx="29">
                        <c:v>79589.15483683499</c:v>
                      </c:pt>
                      <c:pt idx="30">
                        <c:v>86326.4344170236</c:v>
                      </c:pt>
                      <c:pt idx="31">
                        <c:v>85927.855424299763</c:v>
                      </c:pt>
                      <c:pt idx="32">
                        <c:v>84675.241473119007</c:v>
                      </c:pt>
                      <c:pt idx="33">
                        <c:v>83251.899333179754</c:v>
                      </c:pt>
                      <c:pt idx="34">
                        <c:v>83391.721044036836</c:v>
                      </c:pt>
                      <c:pt idx="35">
                        <c:v>86545.048202855352</c:v>
                      </c:pt>
                      <c:pt idx="36">
                        <c:v>89168.835502145201</c:v>
                      </c:pt>
                      <c:pt idx="37">
                        <c:v>91249.429904801917</c:v>
                      </c:pt>
                      <c:pt idx="38">
                        <c:v>92776.818697266281</c:v>
                      </c:pt>
                      <c:pt idx="39">
                        <c:v>93763.805619974679</c:v>
                      </c:pt>
                      <c:pt idx="40">
                        <c:v>94147.113814204102</c:v>
                      </c:pt>
                      <c:pt idx="41">
                        <c:v>93957.07960664414</c:v>
                      </c:pt>
                      <c:pt idx="51">
                        <c:v>-1.8724630766617336</c:v>
                      </c:pt>
                      <c:pt idx="52">
                        <c:v>-9202.7013750000006</c:v>
                      </c:pt>
                      <c:pt idx="53">
                        <c:v>-18086.110875000002</c:v>
                      </c:pt>
                      <c:pt idx="54">
                        <c:v>-26650.228500000005</c:v>
                      </c:pt>
                      <c:pt idx="55">
                        <c:v>-36384.051262500005</c:v>
                      </c:pt>
                      <c:pt idx="56">
                        <c:v>-47383.480665000003</c:v>
                      </c:pt>
                      <c:pt idx="57">
                        <c:v>-57038.986350000006</c:v>
                      </c:pt>
                      <c:pt idx="58">
                        <c:v>-65789.696249999994</c:v>
                      </c:pt>
                      <c:pt idx="59">
                        <c:v>-73855.174331250018</c:v>
                      </c:pt>
                      <c:pt idx="60">
                        <c:v>-81490.114710000023</c:v>
                      </c:pt>
                      <c:pt idx="61">
                        <c:v>-88766.624821500009</c:v>
                      </c:pt>
                      <c:pt idx="62">
                        <c:v>-95551.58203772729</c:v>
                      </c:pt>
                      <c:pt idx="63">
                        <c:v>-101888.05161375001</c:v>
                      </c:pt>
                      <c:pt idx="64">
                        <c:v>-107805.84795692308</c:v>
                      </c:pt>
                      <c:pt idx="65">
                        <c:v>-113326.26707250001</c:v>
                      </c:pt>
                      <c:pt idx="66">
                        <c:v>-118464.926031</c:v>
                      </c:pt>
                      <c:pt idx="67">
                        <c:v>-123233.53763531253</c:v>
                      </c:pt>
                      <c:pt idx="68">
                        <c:v>-127641.0587347059</c:v>
                      </c:pt>
                      <c:pt idx="69">
                        <c:v>-131694.45576750004</c:v>
                      </c:pt>
                      <c:pt idx="74">
                        <c:v>2.8833430927625159</c:v>
                      </c:pt>
                      <c:pt idx="75">
                        <c:v>14004.429468750001</c:v>
                      </c:pt>
                      <c:pt idx="76">
                        <c:v>27158.585702401131</c:v>
                      </c:pt>
                      <c:pt idx="77">
                        <c:v>43946.774135558582</c:v>
                      </c:pt>
                      <c:pt idx="78">
                        <c:v>59250.94565783134</c:v>
                      </c:pt>
                      <c:pt idx="79">
                        <c:v>72217.124581195938</c:v>
                      </c:pt>
                      <c:pt idx="80">
                        <c:v>83603.333380238371</c:v>
                      </c:pt>
                      <c:pt idx="81">
                        <c:v>90548.982885684323</c:v>
                      </c:pt>
                      <c:pt idx="82">
                        <c:v>89901.345434944596</c:v>
                      </c:pt>
                      <c:pt idx="83">
                        <c:v>88079.138676535847</c:v>
                      </c:pt>
                      <c:pt idx="84">
                        <c:v>86107.322765005738</c:v>
                      </c:pt>
                      <c:pt idx="85">
                        <c:v>85877.727688827115</c:v>
                      </c:pt>
                      <c:pt idx="86">
                        <c:v>88823.922218533888</c:v>
                      </c:pt>
                      <c:pt idx="87">
                        <c:v>91272.438535421839</c:v>
                      </c:pt>
                      <c:pt idx="88">
                        <c:v>93202.79708383423</c:v>
                      </c:pt>
                      <c:pt idx="89">
                        <c:v>94599.978793432252</c:v>
                      </c:pt>
                      <c:pt idx="90">
                        <c:v>95469.827679961993</c:v>
                      </c:pt>
                      <c:pt idx="91">
                        <c:v>95752.78163536865</c:v>
                      </c:pt>
                      <c:pt idx="92">
                        <c:v>95473.543659966206</c:v>
                      </c:pt>
                      <c:pt idx="102">
                        <c:v>-1.8724630766606425</c:v>
                      </c:pt>
                      <c:pt idx="103">
                        <c:v>-9202.7013749999987</c:v>
                      </c:pt>
                      <c:pt idx="104">
                        <c:v>-18086.110875000002</c:v>
                      </c:pt>
                      <c:pt idx="105">
                        <c:v>-26650.228500000001</c:v>
                      </c:pt>
                      <c:pt idx="106">
                        <c:v>-36880.383600000008</c:v>
                      </c:pt>
                      <c:pt idx="107">
                        <c:v>-48904.444845000005</c:v>
                      </c:pt>
                      <c:pt idx="108">
                        <c:v>-59243.038425000013</c:v>
                      </c:pt>
                      <c:pt idx="109">
                        <c:v>-68481.668250000002</c:v>
                      </c:pt>
                      <c:pt idx="110">
                        <c:v>-76913.086275000023</c:v>
                      </c:pt>
                      <c:pt idx="111">
                        <c:v>-84876.884655000031</c:v>
                      </c:pt>
                      <c:pt idx="112">
                        <c:v>-92469.206636999996</c:v>
                      </c:pt>
                      <c:pt idx="113">
                        <c:v>-99512.555383636369</c:v>
                      </c:pt>
                      <c:pt idx="114">
                        <c:v>-106064.35123500001</c:v>
                      </c:pt>
                      <c:pt idx="115">
                        <c:v>-112164.3467342308</c:v>
                      </c:pt>
                      <c:pt idx="116">
                        <c:v>-117840.93655499999</c:v>
                      </c:pt>
                      <c:pt idx="117">
                        <c:v>-123114.94345800001</c:v>
                      </c:pt>
                      <c:pt idx="118">
                        <c:v>-128001.98451375002</c:v>
                      </c:pt>
                      <c:pt idx="119">
                        <c:v>-132514.00218794119</c:v>
                      </c:pt>
                      <c:pt idx="120">
                        <c:v>-136660.28506500003</c:v>
                      </c:pt>
                      <c:pt idx="125">
                        <c:v>2.8833430927625159</c:v>
                      </c:pt>
                      <c:pt idx="126">
                        <c:v>14004.429468750002</c:v>
                      </c:pt>
                      <c:pt idx="127">
                        <c:v>27158.585702401138</c:v>
                      </c:pt>
                      <c:pt idx="128">
                        <c:v>45431.931964959935</c:v>
                      </c:pt>
                      <c:pt idx="129">
                        <c:v>62000.40277590508</c:v>
                      </c:pt>
                      <c:pt idx="130">
                        <c:v>75725.363884538587</c:v>
                      </c:pt>
                      <c:pt idx="131">
                        <c:v>87617.511923641825</c:v>
                      </c:pt>
                      <c:pt idx="132">
                        <c:v>94771.531354345047</c:v>
                      </c:pt>
                      <c:pt idx="133">
                        <c:v>93874.83544558943</c:v>
                      </c:pt>
                      <c:pt idx="134">
                        <c:v>91483.035879952688</c:v>
                      </c:pt>
                      <c:pt idx="135">
                        <c:v>88962.746196831693</c:v>
                      </c:pt>
                      <c:pt idx="136">
                        <c:v>88363.73433361738</c:v>
                      </c:pt>
                      <c:pt idx="137">
                        <c:v>91102.796234212394</c:v>
                      </c:pt>
                      <c:pt idx="138">
                        <c:v>93376.041568698434</c:v>
                      </c:pt>
                      <c:pt idx="139">
                        <c:v>95156.164262866514</c:v>
                      </c:pt>
                      <c:pt idx="140">
                        <c:v>96423.138889598253</c:v>
                      </c:pt>
                      <c:pt idx="141">
                        <c:v>97175.849739949321</c:v>
                      </c:pt>
                      <c:pt idx="142">
                        <c:v>96990.007713288302</c:v>
                      </c:pt>
                      <c:pt idx="152">
                        <c:v>-1.8724630766606425</c:v>
                      </c:pt>
                      <c:pt idx="153">
                        <c:v>-9202.7013749999987</c:v>
                      </c:pt>
                      <c:pt idx="154">
                        <c:v>-18086.110875000002</c:v>
                      </c:pt>
                      <c:pt idx="155">
                        <c:v>-26650.228500000001</c:v>
                      </c:pt>
                      <c:pt idx="156">
                        <c:v>-37376.715937500012</c:v>
                      </c:pt>
                      <c:pt idx="157">
                        <c:v>-50425.409025000008</c:v>
                      </c:pt>
                      <c:pt idx="158">
                        <c:v>-61447.090500000013</c:v>
                      </c:pt>
                      <c:pt idx="159">
                        <c:v>-71173.640249999997</c:v>
                      </c:pt>
                      <c:pt idx="160">
                        <c:v>-79970.998218750028</c:v>
                      </c:pt>
                      <c:pt idx="161">
                        <c:v>-88263.654600000023</c:v>
                      </c:pt>
                      <c:pt idx="162">
                        <c:v>-96171.788452499997</c:v>
                      </c:pt>
                      <c:pt idx="163">
                        <c:v>-103473.52872954546</c:v>
                      </c:pt>
                      <c:pt idx="164">
                        <c:v>-110240.65085625002</c:v>
                      </c:pt>
                      <c:pt idx="165">
                        <c:v>-116522.84551153847</c:v>
                      </c:pt>
                      <c:pt idx="166">
                        <c:v>-122355.60603749999</c:v>
                      </c:pt>
                      <c:pt idx="167">
                        <c:v>-127764.96088499999</c:v>
                      </c:pt>
                      <c:pt idx="168">
                        <c:v>-132770.43139218754</c:v>
                      </c:pt>
                      <c:pt idx="169">
                        <c:v>-137386.94564117648</c:v>
                      </c:pt>
                      <c:pt idx="170">
                        <c:v>-141626.11436250003</c:v>
                      </c:pt>
                      <c:pt idx="175">
                        <c:v>2.8833430927625159</c:v>
                      </c:pt>
                      <c:pt idx="176">
                        <c:v>14004.429468749999</c:v>
                      </c:pt>
                      <c:pt idx="177">
                        <c:v>27158.585702401131</c:v>
                      </c:pt>
                      <c:pt idx="178">
                        <c:v>46917.089794361309</c:v>
                      </c:pt>
                      <c:pt idx="179">
                        <c:v>64749.859893978813</c:v>
                      </c:pt>
                      <c:pt idx="180">
                        <c:v>79233.603187881221</c:v>
                      </c:pt>
                      <c:pt idx="181">
                        <c:v>91631.690467045235</c:v>
                      </c:pt>
                      <c:pt idx="182">
                        <c:v>98994.07982300577</c:v>
                      </c:pt>
                      <c:pt idx="183">
                        <c:v>97848.325456234248</c:v>
                      </c:pt>
                      <c:pt idx="184">
                        <c:v>94886.933083369498</c:v>
                      </c:pt>
                      <c:pt idx="185">
                        <c:v>91818.169628657692</c:v>
                      </c:pt>
                      <c:pt idx="186">
                        <c:v>90849.740978407674</c:v>
                      </c:pt>
                      <c:pt idx="187">
                        <c:v>93381.670249890914</c:v>
                      </c:pt>
                      <c:pt idx="188">
                        <c:v>95479.644601975044</c:v>
                      </c:pt>
                      <c:pt idx="189">
                        <c:v>97109.531441898813</c:v>
                      </c:pt>
                      <c:pt idx="190">
                        <c:v>98246.298985764253</c:v>
                      </c:pt>
                      <c:pt idx="191">
                        <c:v>98881.871799936649</c:v>
                      </c:pt>
                      <c:pt idx="192">
                        <c:v>98964.117277697733</c:v>
                      </c:pt>
                      <c:pt idx="193">
                        <c:v>98506.471766610368</c:v>
                      </c:pt>
                      <c:pt idx="203">
                        <c:v>-1.8724630766606425</c:v>
                      </c:pt>
                      <c:pt idx="204">
                        <c:v>-9202.7013749999987</c:v>
                      </c:pt>
                      <c:pt idx="205">
                        <c:v>-18086.110875000002</c:v>
                      </c:pt>
                      <c:pt idx="206">
                        <c:v>-26650.228500000001</c:v>
                      </c:pt>
                      <c:pt idx="207">
                        <c:v>-37873.048275000016</c:v>
                      </c:pt>
                      <c:pt idx="208">
                        <c:v>-51946.373205000004</c:v>
                      </c:pt>
                      <c:pt idx="209">
                        <c:v>-63651.142575000005</c:v>
                      </c:pt>
                      <c:pt idx="210">
                        <c:v>-73865.612250000006</c:v>
                      </c:pt>
                      <c:pt idx="211">
                        <c:v>-83028.910162500033</c:v>
                      </c:pt>
                      <c:pt idx="212">
                        <c:v>-91650.424545000031</c:v>
                      </c:pt>
                      <c:pt idx="213">
                        <c:v>-99874.370268000013</c:v>
                      </c:pt>
                      <c:pt idx="214">
                        <c:v>-107434.50207545455</c:v>
                      </c:pt>
                      <c:pt idx="215">
                        <c:v>-114416.95047750001</c:v>
                      </c:pt>
                      <c:pt idx="216">
                        <c:v>-120881.34428884617</c:v>
                      </c:pt>
                      <c:pt idx="217">
                        <c:v>-126870.27552</c:v>
                      </c:pt>
                      <c:pt idx="218">
                        <c:v>-132414.97831199999</c:v>
                      </c:pt>
                      <c:pt idx="219">
                        <c:v>-137538.87827062505</c:v>
                      </c:pt>
                      <c:pt idx="220">
                        <c:v>-142259.8890944118</c:v>
                      </c:pt>
                      <c:pt idx="221">
                        <c:v>-146591.94366000005</c:v>
                      </c:pt>
                      <c:pt idx="226">
                        <c:v>2.8833430927625159</c:v>
                      </c:pt>
                      <c:pt idx="227">
                        <c:v>14004.429468750002</c:v>
                      </c:pt>
                      <c:pt idx="228">
                        <c:v>27158.585702401138</c:v>
                      </c:pt>
                      <c:pt idx="229">
                        <c:v>48402.247623762669</c:v>
                      </c:pt>
                      <c:pt idx="230">
                        <c:v>67499.317012052546</c:v>
                      </c:pt>
                      <c:pt idx="231">
                        <c:v>82741.84249122387</c:v>
                      </c:pt>
                      <c:pt idx="232">
                        <c:v>95645.86901044866</c:v>
                      </c:pt>
                      <c:pt idx="233">
                        <c:v>103216.62829166646</c:v>
                      </c:pt>
                      <c:pt idx="234">
                        <c:v>101821.81546687908</c:v>
                      </c:pt>
                      <c:pt idx="235">
                        <c:v>98290.830286786353</c:v>
                      </c:pt>
                      <c:pt idx="236">
                        <c:v>94673.593060483676</c:v>
                      </c:pt>
                      <c:pt idx="237">
                        <c:v>93335.747623197953</c:v>
                      </c:pt>
                      <c:pt idx="238">
                        <c:v>95660.544265569421</c:v>
                      </c:pt>
                      <c:pt idx="239">
                        <c:v>97583.247635251639</c:v>
                      </c:pt>
                      <c:pt idx="240">
                        <c:v>99062.898620931097</c:v>
                      </c:pt>
                      <c:pt idx="241">
                        <c:v>100069.45908193024</c:v>
                      </c:pt>
                      <c:pt idx="242">
                        <c:v>100587.89385992401</c:v>
                      </c:pt>
                      <c:pt idx="243">
                        <c:v>100569.78509886227</c:v>
                      </c:pt>
                      <c:pt idx="244">
                        <c:v>100022.93581993242</c:v>
                      </c:pt>
                      <c:pt idx="254">
                        <c:v>-1.8724630766606425</c:v>
                      </c:pt>
                      <c:pt idx="255">
                        <c:v>-9202.7013750000024</c:v>
                      </c:pt>
                      <c:pt idx="256">
                        <c:v>-18086.110875000002</c:v>
                      </c:pt>
                      <c:pt idx="257">
                        <c:v>-26650.228500000005</c:v>
                      </c:pt>
                      <c:pt idx="258">
                        <c:v>-38369.380612500012</c:v>
                      </c:pt>
                      <c:pt idx="259">
                        <c:v>-53467.337385000006</c:v>
                      </c:pt>
                      <c:pt idx="260">
                        <c:v>-65855.194650000005</c:v>
                      </c:pt>
                      <c:pt idx="261">
                        <c:v>-76557.58425</c:v>
                      </c:pt>
                      <c:pt idx="262">
                        <c:v>-86086.822106250023</c:v>
                      </c:pt>
                      <c:pt idx="263">
                        <c:v>-95037.194490000038</c:v>
                      </c:pt>
                      <c:pt idx="264">
                        <c:v>-103576.9520835</c:v>
                      </c:pt>
                      <c:pt idx="265">
                        <c:v>-111395.47542136363</c:v>
                      </c:pt>
                      <c:pt idx="266">
                        <c:v>-118593.25009875001</c:v>
                      </c:pt>
                      <c:pt idx="267">
                        <c:v>-125239.84306615386</c:v>
                      </c:pt>
                      <c:pt idx="268">
                        <c:v>-131384.9450025</c:v>
                      </c:pt>
                      <c:pt idx="269">
                        <c:v>-137064.99573899998</c:v>
                      </c:pt>
                      <c:pt idx="270">
                        <c:v>-142307.32514906253</c:v>
                      </c:pt>
                      <c:pt idx="271">
                        <c:v>-147132.83254764709</c:v>
                      </c:pt>
                      <c:pt idx="272">
                        <c:v>-151557.77295750004</c:v>
                      </c:pt>
                      <c:pt idx="277">
                        <c:v>2.8833430927625159</c:v>
                      </c:pt>
                      <c:pt idx="278">
                        <c:v>14004.429468750006</c:v>
                      </c:pt>
                      <c:pt idx="279">
                        <c:v>27158.585702401138</c:v>
                      </c:pt>
                      <c:pt idx="280">
                        <c:v>49887.405453164036</c:v>
                      </c:pt>
                      <c:pt idx="281">
                        <c:v>70248.774130126287</c:v>
                      </c:pt>
                      <c:pt idx="282">
                        <c:v>86250.081794566519</c:v>
                      </c:pt>
                      <c:pt idx="283">
                        <c:v>99660.04755385207</c:v>
                      </c:pt>
                      <c:pt idx="284">
                        <c:v>107439.1767603272</c:v>
                      </c:pt>
                      <c:pt idx="285">
                        <c:v>105795.30547752389</c:v>
                      </c:pt>
                      <c:pt idx="286">
                        <c:v>101694.72749020318</c:v>
                      </c:pt>
                      <c:pt idx="287">
                        <c:v>97529.016492309645</c:v>
                      </c:pt>
                      <c:pt idx="288">
                        <c:v>95821.754267988261</c:v>
                      </c:pt>
                      <c:pt idx="289">
                        <c:v>97939.418281247956</c:v>
                      </c:pt>
                      <c:pt idx="290">
                        <c:v>99686.850668528263</c:v>
                      </c:pt>
                      <c:pt idx="291">
                        <c:v>101016.2657999634</c:v>
                      </c:pt>
                      <c:pt idx="292">
                        <c:v>101892.61917809624</c:v>
                      </c:pt>
                      <c:pt idx="293">
                        <c:v>102293.91591991132</c:v>
                      </c:pt>
                      <c:pt idx="294">
                        <c:v>102175.45292002683</c:v>
                      </c:pt>
                      <c:pt idx="295">
                        <c:v>101539.39987325452</c:v>
                      </c:pt>
                      <c:pt idx="305">
                        <c:v>-1.8724630766562769</c:v>
                      </c:pt>
                      <c:pt idx="306">
                        <c:v>-9202.7013749999987</c:v>
                      </c:pt>
                      <c:pt idx="307">
                        <c:v>-18086.110874999998</c:v>
                      </c:pt>
                      <c:pt idx="308">
                        <c:v>-26650.228500000001</c:v>
                      </c:pt>
                      <c:pt idx="309">
                        <c:v>-38865.712950000016</c:v>
                      </c:pt>
                      <c:pt idx="310">
                        <c:v>-54988.301565000009</c:v>
                      </c:pt>
                      <c:pt idx="311">
                        <c:v>-68059.246725000005</c:v>
                      </c:pt>
                      <c:pt idx="312">
                        <c:v>-79249.556250000009</c:v>
                      </c:pt>
                      <c:pt idx="313">
                        <c:v>-89144.734050000014</c:v>
                      </c:pt>
                      <c:pt idx="314">
                        <c:v>-98423.964435000016</c:v>
                      </c:pt>
                      <c:pt idx="315">
                        <c:v>-107279.533899</c:v>
                      </c:pt>
                      <c:pt idx="316">
                        <c:v>-115356.44876727274</c:v>
                      </c:pt>
                      <c:pt idx="317">
                        <c:v>-122769.54972</c:v>
                      </c:pt>
                      <c:pt idx="318">
                        <c:v>-129598.34184346155</c:v>
                      </c:pt>
                      <c:pt idx="319">
                        <c:v>-135899.614485</c:v>
                      </c:pt>
                      <c:pt idx="320">
                        <c:v>-141715.01316599999</c:v>
                      </c:pt>
                      <c:pt idx="321">
                        <c:v>-147075.7720275</c:v>
                      </c:pt>
                      <c:pt idx="322">
                        <c:v>-152005.77600088235</c:v>
                      </c:pt>
                      <c:pt idx="323">
                        <c:v>-156523.60225500006</c:v>
                      </c:pt>
                      <c:pt idx="328">
                        <c:v>2.8833430927668817</c:v>
                      </c:pt>
                      <c:pt idx="329">
                        <c:v>14004.429468750006</c:v>
                      </c:pt>
                      <c:pt idx="330">
                        <c:v>27158.585702401131</c:v>
                      </c:pt>
                      <c:pt idx="331">
                        <c:v>51372.563282565396</c:v>
                      </c:pt>
                      <c:pt idx="332">
                        <c:v>72998.231248200012</c:v>
                      </c:pt>
                      <c:pt idx="333">
                        <c:v>89758.321097909167</c:v>
                      </c:pt>
                      <c:pt idx="334">
                        <c:v>103674.22609725551</c:v>
                      </c:pt>
                      <c:pt idx="335">
                        <c:v>111661.72522898791</c:v>
                      </c:pt>
                      <c:pt idx="336">
                        <c:v>109768.79548816872</c:v>
                      </c:pt>
                      <c:pt idx="337">
                        <c:v>105098.62469362003</c:v>
                      </c:pt>
                      <c:pt idx="338">
                        <c:v>100384.43992413564</c:v>
                      </c:pt>
                      <c:pt idx="339">
                        <c:v>98307.760912778525</c:v>
                      </c:pt>
                      <c:pt idx="340">
                        <c:v>100218.29229692648</c:v>
                      </c:pt>
                      <c:pt idx="341">
                        <c:v>101790.45370180489</c:v>
                      </c:pt>
                      <c:pt idx="342">
                        <c:v>102969.63297899571</c:v>
                      </c:pt>
                      <c:pt idx="343">
                        <c:v>103715.77927426224</c:v>
                      </c:pt>
                      <c:pt idx="344">
                        <c:v>103999.93797989866</c:v>
                      </c:pt>
                      <c:pt idx="345">
                        <c:v>103781.12074119136</c:v>
                      </c:pt>
                      <c:pt idx="346">
                        <c:v>103055.86392657658</c:v>
                      </c:pt>
                      <c:pt idx="356">
                        <c:v>-1.8724630766693735</c:v>
                      </c:pt>
                      <c:pt idx="357">
                        <c:v>-9202.7013750000096</c:v>
                      </c:pt>
                      <c:pt idx="358">
                        <c:v>-18086.110875000009</c:v>
                      </c:pt>
                      <c:pt idx="359">
                        <c:v>-26650.228500000016</c:v>
                      </c:pt>
                      <c:pt idx="360">
                        <c:v>-39362.045287500012</c:v>
                      </c:pt>
                      <c:pt idx="361">
                        <c:v>-56509.265745000004</c:v>
                      </c:pt>
                      <c:pt idx="362">
                        <c:v>-70263.298800000004</c:v>
                      </c:pt>
                      <c:pt idx="363">
                        <c:v>-81941.528250000003</c:v>
                      </c:pt>
                      <c:pt idx="364">
                        <c:v>-92202.645993750033</c:v>
                      </c:pt>
                      <c:pt idx="365">
                        <c:v>-101810.73438000002</c:v>
                      </c:pt>
                      <c:pt idx="366">
                        <c:v>-110982.11571449999</c:v>
                      </c:pt>
                      <c:pt idx="367">
                        <c:v>-119317.42211318186</c:v>
                      </c:pt>
                      <c:pt idx="368">
                        <c:v>-126945.84934125001</c:v>
                      </c:pt>
                      <c:pt idx="369">
                        <c:v>-133956.84062076925</c:v>
                      </c:pt>
                      <c:pt idx="370">
                        <c:v>-140414.2839675</c:v>
                      </c:pt>
                      <c:pt idx="371">
                        <c:v>-146365.030593</c:v>
                      </c:pt>
                      <c:pt idx="372">
                        <c:v>-151844.21890593754</c:v>
                      </c:pt>
                      <c:pt idx="373">
                        <c:v>-156878.71945411767</c:v>
                      </c:pt>
                      <c:pt idx="374">
                        <c:v>-161489.43155250006</c:v>
                      </c:pt>
                      <c:pt idx="379">
                        <c:v>2.8833430927537846</c:v>
                      </c:pt>
                      <c:pt idx="380">
                        <c:v>14004.429468749995</c:v>
                      </c:pt>
                      <c:pt idx="381">
                        <c:v>27158.585702401131</c:v>
                      </c:pt>
                      <c:pt idx="382">
                        <c:v>52857.721111966755</c:v>
                      </c:pt>
                      <c:pt idx="383">
                        <c:v>75747.688366273724</c:v>
                      </c:pt>
                      <c:pt idx="384">
                        <c:v>93266.560401251802</c:v>
                      </c:pt>
                      <c:pt idx="385">
                        <c:v>107688.4046406589</c:v>
                      </c:pt>
                      <c:pt idx="386">
                        <c:v>115884.27369764862</c:v>
                      </c:pt>
                      <c:pt idx="387">
                        <c:v>113742.28549881352</c:v>
                      </c:pt>
                      <c:pt idx="388">
                        <c:v>108502.52189703686</c:v>
                      </c:pt>
                      <c:pt idx="389">
                        <c:v>103239.86335596161</c:v>
                      </c:pt>
                      <c:pt idx="390">
                        <c:v>100793.76755756882</c:v>
                      </c:pt>
                      <c:pt idx="391">
                        <c:v>102497.16631260498</c:v>
                      </c:pt>
                      <c:pt idx="392">
                        <c:v>103894.05673508151</c:v>
                      </c:pt>
                      <c:pt idx="393">
                        <c:v>104923.00015802799</c:v>
                      </c:pt>
                      <c:pt idx="394">
                        <c:v>105538.93937042824</c:v>
                      </c:pt>
                      <c:pt idx="395">
                        <c:v>105705.96003988599</c:v>
                      </c:pt>
                      <c:pt idx="396">
                        <c:v>105386.78856235593</c:v>
                      </c:pt>
                      <c:pt idx="397">
                        <c:v>104572.32797989865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'ID (X) (30")'!$T$36:$T$433</c15:sqref>
                        </c15:formulaRef>
                      </c:ext>
                    </c:extLst>
                    <c:numCache>
                      <c:formatCode>0</c:formatCode>
                      <c:ptCount val="398"/>
                      <c:pt idx="0">
                        <c:v>4665.6000000000013</c:v>
                      </c:pt>
                      <c:pt idx="1">
                        <c:v>2111.2650000000003</c:v>
                      </c:pt>
                      <c:pt idx="2">
                        <c:v>-443.07000000000016</c:v>
                      </c:pt>
                      <c:pt idx="3">
                        <c:v>-2997.4049999999997</c:v>
                      </c:pt>
                      <c:pt idx="4">
                        <c:v>-5962.7340000000031</c:v>
                      </c:pt>
                      <c:pt idx="5">
                        <c:v>-9365.5277999999998</c:v>
                      </c:pt>
                      <c:pt idx="6">
                        <c:v>-12485.502000000002</c:v>
                      </c:pt>
                      <c:pt idx="7">
                        <c:v>-15443.865</c:v>
                      </c:pt>
                      <c:pt idx="8">
                        <c:v>-18301.221000000005</c:v>
                      </c:pt>
                      <c:pt idx="9">
                        <c:v>-21212.809200000007</c:v>
                      </c:pt>
                      <c:pt idx="10">
                        <c:v>-24197.841179999999</c:v>
                      </c:pt>
                      <c:pt idx="11">
                        <c:v>-27104.564618181819</c:v>
                      </c:pt>
                      <c:pt idx="12">
                        <c:v>-29952.556650000006</c:v>
                      </c:pt>
                      <c:pt idx="13">
                        <c:v>-32755.370676923078</c:v>
                      </c:pt>
                      <c:pt idx="14">
                        <c:v>-35522.687700000002</c:v>
                      </c:pt>
                      <c:pt idx="15">
                        <c:v>-38261.607119999993</c:v>
                      </c:pt>
                      <c:pt idx="16">
                        <c:v>-40977.45348750001</c:v>
                      </c:pt>
                      <c:pt idx="17">
                        <c:v>-43674.298517647061</c:v>
                      </c:pt>
                      <c:pt idx="18">
                        <c:v>-46355.309100000013</c:v>
                      </c:pt>
                      <c:pt idx="23">
                        <c:v>4665.2433570000012</c:v>
                      </c:pt>
                      <c:pt idx="24">
                        <c:v>2882.3850000000007</c:v>
                      </c:pt>
                      <c:pt idx="25">
                        <c:v>1102.7364299999999</c:v>
                      </c:pt>
                      <c:pt idx="26">
                        <c:v>-1253.9837196918395</c:v>
                      </c:pt>
                      <c:pt idx="27">
                        <c:v>-3524.887275036745</c:v>
                      </c:pt>
                      <c:pt idx="28">
                        <c:v>-5599.3675630041571</c:v>
                      </c:pt>
                      <c:pt idx="29">
                        <c:v>-7575.6034254184906</c:v>
                      </c:pt>
                      <c:pt idx="30">
                        <c:v>-9188.4179227837503</c:v>
                      </c:pt>
                      <c:pt idx="31">
                        <c:v>-10280.377963381607</c:v>
                      </c:pt>
                      <c:pt idx="32">
                        <c:v>-11476.221103706286</c:v>
                      </c:pt>
                      <c:pt idx="33">
                        <c:v>-12559.647189731248</c:v>
                      </c:pt>
                      <c:pt idx="34">
                        <c:v>-13721.608144505984</c:v>
                      </c:pt>
                      <c:pt idx="35">
                        <c:v>-15347.16363402786</c:v>
                      </c:pt>
                      <c:pt idx="36">
                        <c:v>-16920.380461861565</c:v>
                      </c:pt>
                      <c:pt idx="37">
                        <c:v>-18452.472450326732</c:v>
                      </c:pt>
                      <c:pt idx="38">
                        <c:v>-19951.663468583742</c:v>
                      </c:pt>
                      <c:pt idx="39">
                        <c:v>-21468.022479729734</c:v>
                      </c:pt>
                      <c:pt idx="40">
                        <c:v>-22920.750422098576</c:v>
                      </c:pt>
                      <c:pt idx="41">
                        <c:v>-24355.161648648653</c:v>
                      </c:pt>
                      <c:pt idx="51">
                        <c:v>6997.8891329999997</c:v>
                      </c:pt>
                      <c:pt idx="52">
                        <c:v>4444.0649999999987</c:v>
                      </c:pt>
                      <c:pt idx="53">
                        <c:v>1889.7299999999982</c:v>
                      </c:pt>
                      <c:pt idx="54">
                        <c:v>-664.6050000000015</c:v>
                      </c:pt>
                      <c:pt idx="55">
                        <c:v>-3835.4310000000037</c:v>
                      </c:pt>
                      <c:pt idx="56">
                        <c:v>-7662.4542000000001</c:v>
                      </c:pt>
                      <c:pt idx="57">
                        <c:v>-11065.248000000001</c:v>
                      </c:pt>
                      <c:pt idx="58">
                        <c:v>-14225.625</c:v>
                      </c:pt>
                      <c:pt idx="59">
                        <c:v>-17234.491500000004</c:v>
                      </c:pt>
                      <c:pt idx="60">
                        <c:v>-20324.706300000005</c:v>
                      </c:pt>
                      <c:pt idx="61">
                        <c:v>-23525.086770000002</c:v>
                      </c:pt>
                      <c:pt idx="62">
                        <c:v>-26608.004427272728</c:v>
                      </c:pt>
                      <c:pt idx="63">
                        <c:v>-29602.824975000003</c:v>
                      </c:pt>
                      <c:pt idx="64">
                        <c:v>-32529.878515384622</c:v>
                      </c:pt>
                      <c:pt idx="65">
                        <c:v>-35403.686549999999</c:v>
                      </c:pt>
                      <c:pt idx="66">
                        <c:v>-38234.898179999989</c:v>
                      </c:pt>
                      <c:pt idx="67">
                        <c:v>-41031.500231250007</c:v>
                      </c:pt>
                      <c:pt idx="68">
                        <c:v>-43799.600276470592</c:v>
                      </c:pt>
                      <c:pt idx="69">
                        <c:v>-46543.948650000006</c:v>
                      </c:pt>
                      <c:pt idx="74">
                        <c:v>6998.0433569999996</c:v>
                      </c:pt>
                      <c:pt idx="75">
                        <c:v>5215.1849999999986</c:v>
                      </c:pt>
                      <c:pt idx="76">
                        <c:v>3435.5364299999983</c:v>
                      </c:pt>
                      <c:pt idx="77">
                        <c:v>790.2804904622393</c:v>
                      </c:pt>
                      <c:pt idx="78">
                        <c:v>-1726.250557555119</c:v>
                      </c:pt>
                      <c:pt idx="79">
                        <c:v>-3948.1467045062373</c:v>
                      </c:pt>
                      <c:pt idx="80">
                        <c:v>-6022.6762131277355</c:v>
                      </c:pt>
                      <c:pt idx="81">
                        <c:v>-7762.8107741756248</c:v>
                      </c:pt>
                      <c:pt idx="82">
                        <c:v>-9170.0556500724106</c:v>
                      </c:pt>
                      <c:pt idx="83">
                        <c:v>-10733.125175559429</c:v>
                      </c:pt>
                      <c:pt idx="84">
                        <c:v>-12127.56911959687</c:v>
                      </c:pt>
                      <c:pt idx="85">
                        <c:v>-13511.964741758973</c:v>
                      </c:pt>
                      <c:pt idx="86">
                        <c:v>-15307.647103541791</c:v>
                      </c:pt>
                      <c:pt idx="87">
                        <c:v>-17024.821472792348</c:v>
                      </c:pt>
                      <c:pt idx="88">
                        <c:v>-18680.308582990092</c:v>
                      </c:pt>
                      <c:pt idx="89">
                        <c:v>-20286.44423787561</c:v>
                      </c:pt>
                      <c:pt idx="90">
                        <c:v>-21899.013719594601</c:v>
                      </c:pt>
                      <c:pt idx="91">
                        <c:v>-23434.16688314786</c:v>
                      </c:pt>
                      <c:pt idx="92">
                        <c:v>-24941.844972972976</c:v>
                      </c:pt>
                      <c:pt idx="102">
                        <c:v>9330.6891330000017</c:v>
                      </c:pt>
                      <c:pt idx="103">
                        <c:v>6776.8650000000016</c:v>
                      </c:pt>
                      <c:pt idx="104">
                        <c:v>4222.5300000000007</c:v>
                      </c:pt>
                      <c:pt idx="105">
                        <c:v>1668.1950000000011</c:v>
                      </c:pt>
                      <c:pt idx="106">
                        <c:v>-1708.1280000000033</c:v>
                      </c:pt>
                      <c:pt idx="107">
                        <c:v>-5959.3805999999995</c:v>
                      </c:pt>
                      <c:pt idx="108">
                        <c:v>-9644.9940000000024</c:v>
                      </c:pt>
                      <c:pt idx="109">
                        <c:v>-13007.384999999998</c:v>
                      </c:pt>
                      <c:pt idx="110">
                        <c:v>-16167.762000000004</c:v>
                      </c:pt>
                      <c:pt idx="111">
                        <c:v>-19436.603400000007</c:v>
                      </c:pt>
                      <c:pt idx="112">
                        <c:v>-22852.33236</c:v>
                      </c:pt>
                      <c:pt idx="113">
                        <c:v>-26111.444236363637</c:v>
                      </c:pt>
                      <c:pt idx="114">
                        <c:v>-29253.0933</c:v>
                      </c:pt>
                      <c:pt idx="115">
                        <c:v>-32304.386353846159</c:v>
                      </c:pt>
                      <c:pt idx="116">
                        <c:v>-35284.685400000002</c:v>
                      </c:pt>
                      <c:pt idx="117">
                        <c:v>-38208.189239999992</c:v>
                      </c:pt>
                      <c:pt idx="118">
                        <c:v>-41085.546975000012</c:v>
                      </c:pt>
                      <c:pt idx="119">
                        <c:v>-43924.902035294122</c:v>
                      </c:pt>
                      <c:pt idx="120">
                        <c:v>-46732.588200000013</c:v>
                      </c:pt>
                      <c:pt idx="125">
                        <c:v>9330.8433570000034</c:v>
                      </c:pt>
                      <c:pt idx="126">
                        <c:v>7547.9850000000015</c:v>
                      </c:pt>
                      <c:pt idx="127">
                        <c:v>5768.3364300000012</c:v>
                      </c:pt>
                      <c:pt idx="128">
                        <c:v>2834.5447006163204</c:v>
                      </c:pt>
                      <c:pt idx="129">
                        <c:v>72.386159926510942</c:v>
                      </c:pt>
                      <c:pt idx="130">
                        <c:v>-2296.9258460083147</c:v>
                      </c:pt>
                      <c:pt idx="131">
                        <c:v>-4469.7490008369796</c:v>
                      </c:pt>
                      <c:pt idx="132">
                        <c:v>-6337.2036255674993</c:v>
                      </c:pt>
                      <c:pt idx="133">
                        <c:v>-8059.7333367632127</c:v>
                      </c:pt>
                      <c:pt idx="134">
                        <c:v>-9990.0292474125727</c:v>
                      </c:pt>
                      <c:pt idx="135">
                        <c:v>-11695.491049462495</c:v>
                      </c:pt>
                      <c:pt idx="136">
                        <c:v>-13302.321339011964</c:v>
                      </c:pt>
                      <c:pt idx="137">
                        <c:v>-15268.130573055718</c:v>
                      </c:pt>
                      <c:pt idx="138">
                        <c:v>-17129.262483723134</c:v>
                      </c:pt>
                      <c:pt idx="139">
                        <c:v>-18908.14471565346</c:v>
                      </c:pt>
                      <c:pt idx="140">
                        <c:v>-20621.225007167479</c:v>
                      </c:pt>
                      <c:pt idx="141">
                        <c:v>-22330.004959459467</c:v>
                      </c:pt>
                      <c:pt idx="142">
                        <c:v>-25528.528297297304</c:v>
                      </c:pt>
                      <c:pt idx="152">
                        <c:v>11663.489133000001</c:v>
                      </c:pt>
                      <c:pt idx="153">
                        <c:v>9109.6649999999991</c:v>
                      </c:pt>
                      <c:pt idx="154">
                        <c:v>6555.329999999999</c:v>
                      </c:pt>
                      <c:pt idx="155">
                        <c:v>4000.9949999999994</c:v>
                      </c:pt>
                      <c:pt idx="156">
                        <c:v>419.17499999999671</c:v>
                      </c:pt>
                      <c:pt idx="157">
                        <c:v>-4256.3069999999998</c:v>
                      </c:pt>
                      <c:pt idx="158">
                        <c:v>-8224.7400000000016</c:v>
                      </c:pt>
                      <c:pt idx="159">
                        <c:v>-11789.145</c:v>
                      </c:pt>
                      <c:pt idx="160">
                        <c:v>-15101.032500000007</c:v>
                      </c:pt>
                      <c:pt idx="161">
                        <c:v>-18548.500500000006</c:v>
                      </c:pt>
                      <c:pt idx="162">
                        <c:v>-22179.577950000003</c:v>
                      </c:pt>
                      <c:pt idx="163">
                        <c:v>-25614.88404545455</c:v>
                      </c:pt>
                      <c:pt idx="164">
                        <c:v>-28903.361625000001</c:v>
                      </c:pt>
                      <c:pt idx="165">
                        <c:v>-32078.894192307696</c:v>
                      </c:pt>
                      <c:pt idx="166">
                        <c:v>-35165.684249999998</c:v>
                      </c:pt>
                      <c:pt idx="167">
                        <c:v>-38181.480299999996</c:v>
                      </c:pt>
                      <c:pt idx="168">
                        <c:v>-41139.593718750009</c:v>
                      </c:pt>
                      <c:pt idx="169">
                        <c:v>-44050.203794117653</c:v>
                      </c:pt>
                      <c:pt idx="170">
                        <c:v>-46921.227750000013</c:v>
                      </c:pt>
                      <c:pt idx="175">
                        <c:v>11663.643357000001</c:v>
                      </c:pt>
                      <c:pt idx="176">
                        <c:v>9880.7849999999999</c:v>
                      </c:pt>
                      <c:pt idx="177">
                        <c:v>8101.1364299999996</c:v>
                      </c:pt>
                      <c:pt idx="178">
                        <c:v>4878.8089107703991</c:v>
                      </c:pt>
                      <c:pt idx="179">
                        <c:v>1871.0228774081377</c:v>
                      </c:pt>
                      <c:pt idx="180">
                        <c:v>-645.70498751039361</c:v>
                      </c:pt>
                      <c:pt idx="181">
                        <c:v>-2916.8217885462259</c:v>
                      </c:pt>
                      <c:pt idx="182">
                        <c:v>-4911.5964769593738</c:v>
                      </c:pt>
                      <c:pt idx="183">
                        <c:v>-6949.4110234540167</c:v>
                      </c:pt>
                      <c:pt idx="184">
                        <c:v>-9246.9333192657159</c:v>
                      </c:pt>
                      <c:pt idx="185">
                        <c:v>-11263.412979328117</c:v>
                      </c:pt>
                      <c:pt idx="186">
                        <c:v>-13092.677936264956</c:v>
                      </c:pt>
                      <c:pt idx="187">
                        <c:v>-15228.614042569647</c:v>
                      </c:pt>
                      <c:pt idx="188">
                        <c:v>-17233.703494653917</c:v>
                      </c:pt>
                      <c:pt idx="189">
                        <c:v>-19135.98084831682</c:v>
                      </c:pt>
                      <c:pt idx="190">
                        <c:v>-20956.005776459344</c:v>
                      </c:pt>
                      <c:pt idx="191">
                        <c:v>-22760.996199324327</c:v>
                      </c:pt>
                      <c:pt idx="192">
                        <c:v>-24460.999805246425</c:v>
                      </c:pt>
                      <c:pt idx="193">
                        <c:v>-26115.211621621624</c:v>
                      </c:pt>
                      <c:pt idx="203">
                        <c:v>13996.289132999998</c:v>
                      </c:pt>
                      <c:pt idx="204">
                        <c:v>11442.464999999998</c:v>
                      </c:pt>
                      <c:pt idx="205">
                        <c:v>8888.1299999999974</c:v>
                      </c:pt>
                      <c:pt idx="206">
                        <c:v>6333.7949999999983</c:v>
                      </c:pt>
                      <c:pt idx="207">
                        <c:v>2546.4779999999951</c:v>
                      </c:pt>
                      <c:pt idx="208">
                        <c:v>-2553.2334000000014</c:v>
                      </c:pt>
                      <c:pt idx="209">
                        <c:v>-6804.4860000000026</c:v>
                      </c:pt>
                      <c:pt idx="210">
                        <c:v>-10570.905000000001</c:v>
                      </c:pt>
                      <c:pt idx="211">
                        <c:v>-14034.303000000005</c:v>
                      </c:pt>
                      <c:pt idx="212">
                        <c:v>-17660.397600000008</c:v>
                      </c:pt>
                      <c:pt idx="213">
                        <c:v>-21506.823540000001</c:v>
                      </c:pt>
                      <c:pt idx="214">
                        <c:v>-25118.323854545459</c:v>
                      </c:pt>
                      <c:pt idx="215">
                        <c:v>-28553.629950000002</c:v>
                      </c:pt>
                      <c:pt idx="216">
                        <c:v>-31853.402030769234</c:v>
                      </c:pt>
                      <c:pt idx="217">
                        <c:v>-35046.683100000002</c:v>
                      </c:pt>
                      <c:pt idx="218">
                        <c:v>-38154.771359999992</c:v>
                      </c:pt>
                      <c:pt idx="219">
                        <c:v>-41193.640462500014</c:v>
                      </c:pt>
                      <c:pt idx="220">
                        <c:v>-44175.505552941177</c:v>
                      </c:pt>
                      <c:pt idx="221">
                        <c:v>-47109.867300000013</c:v>
                      </c:pt>
                      <c:pt idx="226">
                        <c:v>13996.443357</c:v>
                      </c:pt>
                      <c:pt idx="227">
                        <c:v>12213.584999999999</c:v>
                      </c:pt>
                      <c:pt idx="228">
                        <c:v>10433.936429999998</c:v>
                      </c:pt>
                      <c:pt idx="229">
                        <c:v>6923.0731209244777</c:v>
                      </c:pt>
                      <c:pt idx="230">
                        <c:v>3669.6595948897634</c:v>
                      </c:pt>
                      <c:pt idx="231">
                        <c:v>1005.5158709875258</c:v>
                      </c:pt>
                      <c:pt idx="232">
                        <c:v>-1363.8945762554711</c:v>
                      </c:pt>
                      <c:pt idx="233">
                        <c:v>-3485.9893283512492</c:v>
                      </c:pt>
                      <c:pt idx="234">
                        <c:v>-5839.0887101448207</c:v>
                      </c:pt>
                      <c:pt idx="235">
                        <c:v>-8503.8373911188592</c:v>
                      </c:pt>
                      <c:pt idx="236">
                        <c:v>-10831.334909193742</c:v>
                      </c:pt>
                      <c:pt idx="237">
                        <c:v>-12883.034533517946</c:v>
                      </c:pt>
                      <c:pt idx="238">
                        <c:v>-15189.097512083574</c:v>
                      </c:pt>
                      <c:pt idx="239">
                        <c:v>-17338.144505584696</c:v>
                      </c:pt>
                      <c:pt idx="240">
                        <c:v>-19363.816980980184</c:v>
                      </c:pt>
                      <c:pt idx="241">
                        <c:v>-21290.786545751213</c:v>
                      </c:pt>
                      <c:pt idx="242">
                        <c:v>-23191.987439189194</c:v>
                      </c:pt>
                      <c:pt idx="243">
                        <c:v>-24974.41626629571</c:v>
                      </c:pt>
                      <c:pt idx="244">
                        <c:v>-26701.894945945947</c:v>
                      </c:pt>
                      <c:pt idx="254">
                        <c:v>16329.089132999999</c:v>
                      </c:pt>
                      <c:pt idx="255">
                        <c:v>13775.264999999999</c:v>
                      </c:pt>
                      <c:pt idx="256">
                        <c:v>11220.929999999998</c:v>
                      </c:pt>
                      <c:pt idx="257">
                        <c:v>8666.5949999999993</c:v>
                      </c:pt>
                      <c:pt idx="258">
                        <c:v>4673.7809999999936</c:v>
                      </c:pt>
                      <c:pt idx="259">
                        <c:v>-850.15980000000116</c:v>
                      </c:pt>
                      <c:pt idx="260">
                        <c:v>-5384.2320000000018</c:v>
                      </c:pt>
                      <c:pt idx="261">
                        <c:v>-9352.6649999999991</c:v>
                      </c:pt>
                      <c:pt idx="262">
                        <c:v>-12967.573500000004</c:v>
                      </c:pt>
                      <c:pt idx="263">
                        <c:v>-16772.294700000009</c:v>
                      </c:pt>
                      <c:pt idx="264">
                        <c:v>-20834.06913</c:v>
                      </c:pt>
                      <c:pt idx="265">
                        <c:v>-24621.763663636368</c:v>
                      </c:pt>
                      <c:pt idx="266">
                        <c:v>-28203.898275000003</c:v>
                      </c:pt>
                      <c:pt idx="267">
                        <c:v>-31627.909869230778</c:v>
                      </c:pt>
                      <c:pt idx="268">
                        <c:v>-34927.681949999998</c:v>
                      </c:pt>
                      <c:pt idx="269">
                        <c:v>-38128.062419999995</c:v>
                      </c:pt>
                      <c:pt idx="270">
                        <c:v>-41247.687206250012</c:v>
                      </c:pt>
                      <c:pt idx="271">
                        <c:v>-44300.807311764707</c:v>
                      </c:pt>
                      <c:pt idx="272">
                        <c:v>-47298.506850000012</c:v>
                      </c:pt>
                      <c:pt idx="277">
                        <c:v>16329.243356999999</c:v>
                      </c:pt>
                      <c:pt idx="278">
                        <c:v>14546.385</c:v>
                      </c:pt>
                      <c:pt idx="279">
                        <c:v>12766.736429999999</c:v>
                      </c:pt>
                      <c:pt idx="280">
                        <c:v>8967.3373310785591</c:v>
                      </c:pt>
                      <c:pt idx="281">
                        <c:v>5468.2963123713926</c:v>
                      </c:pt>
                      <c:pt idx="282">
                        <c:v>2656.7367294854484</c:v>
                      </c:pt>
                      <c:pt idx="283">
                        <c:v>189.03263603528396</c:v>
                      </c:pt>
                      <c:pt idx="284">
                        <c:v>-2060.3821797431247</c:v>
                      </c:pt>
                      <c:pt idx="285">
                        <c:v>-4728.7663968356246</c:v>
                      </c:pt>
                      <c:pt idx="286">
                        <c:v>-7760.7414629720015</c:v>
                      </c:pt>
                      <c:pt idx="287">
                        <c:v>-10399.256839059366</c:v>
                      </c:pt>
                      <c:pt idx="288">
                        <c:v>-12673.391130770937</c:v>
                      </c:pt>
                      <c:pt idx="289">
                        <c:v>-15149.580981597504</c:v>
                      </c:pt>
                      <c:pt idx="290">
                        <c:v>-17442.585516515479</c:v>
                      </c:pt>
                      <c:pt idx="291">
                        <c:v>-19591.653113643544</c:v>
                      </c:pt>
                      <c:pt idx="292">
                        <c:v>-21625.567315043081</c:v>
                      </c:pt>
                      <c:pt idx="293">
                        <c:v>-23622.97867905406</c:v>
                      </c:pt>
                      <c:pt idx="294">
                        <c:v>-25487.832727344998</c:v>
                      </c:pt>
                      <c:pt idx="295">
                        <c:v>-27288.578270270275</c:v>
                      </c:pt>
                      <c:pt idx="305">
                        <c:v>18661.889133000004</c:v>
                      </c:pt>
                      <c:pt idx="306">
                        <c:v>16108.065000000002</c:v>
                      </c:pt>
                      <c:pt idx="307">
                        <c:v>13553.730000000003</c:v>
                      </c:pt>
                      <c:pt idx="308">
                        <c:v>10999.395000000002</c:v>
                      </c:pt>
                      <c:pt idx="309">
                        <c:v>6801.0839999999953</c:v>
                      </c:pt>
                      <c:pt idx="310">
                        <c:v>852.91380000000061</c:v>
                      </c:pt>
                      <c:pt idx="311">
                        <c:v>-3963.9780000000019</c:v>
                      </c:pt>
                      <c:pt idx="312">
                        <c:v>-8134.4249999999984</c:v>
                      </c:pt>
                      <c:pt idx="313">
                        <c:v>-11900.844000000005</c:v>
                      </c:pt>
                      <c:pt idx="314">
                        <c:v>-15884.191800000006</c:v>
                      </c:pt>
                      <c:pt idx="315">
                        <c:v>-20161.314720000002</c:v>
                      </c:pt>
                      <c:pt idx="316">
                        <c:v>-24125.203472727273</c:v>
                      </c:pt>
                      <c:pt idx="317">
                        <c:v>-27854.1666</c:v>
                      </c:pt>
                      <c:pt idx="318">
                        <c:v>-31402.417707692315</c:v>
                      </c:pt>
                      <c:pt idx="319">
                        <c:v>-34808.680800000002</c:v>
                      </c:pt>
                      <c:pt idx="320">
                        <c:v>-38101.353479999998</c:v>
                      </c:pt>
                      <c:pt idx="321">
                        <c:v>-41301.733950000009</c:v>
                      </c:pt>
                      <c:pt idx="322">
                        <c:v>-44426.109070588245</c:v>
                      </c:pt>
                      <c:pt idx="323">
                        <c:v>-47487.146400000012</c:v>
                      </c:pt>
                      <c:pt idx="328">
                        <c:v>18662.043357000002</c:v>
                      </c:pt>
                      <c:pt idx="329">
                        <c:v>16879.185000000001</c:v>
                      </c:pt>
                      <c:pt idx="330">
                        <c:v>15099.536430000004</c:v>
                      </c:pt>
                      <c:pt idx="331">
                        <c:v>11011.60154123264</c:v>
                      </c:pt>
                      <c:pt idx="332">
                        <c:v>7266.9330298530231</c:v>
                      </c:pt>
                      <c:pt idx="333">
                        <c:v>4307.957587983371</c:v>
                      </c:pt>
                      <c:pt idx="334">
                        <c:v>1741.9598483260404</c:v>
                      </c:pt>
                      <c:pt idx="335">
                        <c:v>-634.77503113499722</c:v>
                      </c:pt>
                      <c:pt idx="336">
                        <c:v>-3618.4440835264268</c:v>
                      </c:pt>
                      <c:pt idx="337">
                        <c:v>-7017.6455348251438</c:v>
                      </c:pt>
                      <c:pt idx="338">
                        <c:v>-9967.1787689249886</c:v>
                      </c:pt>
                      <c:pt idx="339">
                        <c:v>-12463.747728023929</c:v>
                      </c:pt>
                      <c:pt idx="340">
                        <c:v>-15110.064451111433</c:v>
                      </c:pt>
                      <c:pt idx="341">
                        <c:v>-17547.026527446262</c:v>
                      </c:pt>
                      <c:pt idx="342">
                        <c:v>-19819.489246306912</c:v>
                      </c:pt>
                      <c:pt idx="343">
                        <c:v>-21960.348084334946</c:v>
                      </c:pt>
                      <c:pt idx="344">
                        <c:v>-24053.969918918923</c:v>
                      </c:pt>
                      <c:pt idx="345">
                        <c:v>-26001.249188394282</c:v>
                      </c:pt>
                      <c:pt idx="346">
                        <c:v>-27875.261594594598</c:v>
                      </c:pt>
                      <c:pt idx="356">
                        <c:v>20994.689132999996</c:v>
                      </c:pt>
                      <c:pt idx="357">
                        <c:v>18440.864999999994</c:v>
                      </c:pt>
                      <c:pt idx="358">
                        <c:v>15886.529999999997</c:v>
                      </c:pt>
                      <c:pt idx="359">
                        <c:v>13332.194999999996</c:v>
                      </c:pt>
                      <c:pt idx="360">
                        <c:v>8928.3869999999933</c:v>
                      </c:pt>
                      <c:pt idx="361">
                        <c:v>2555.9873999999977</c:v>
                      </c:pt>
                      <c:pt idx="362">
                        <c:v>-2543.7240000000038</c:v>
                      </c:pt>
                      <c:pt idx="363">
                        <c:v>-6916.1849999999995</c:v>
                      </c:pt>
                      <c:pt idx="364">
                        <c:v>-10834.114500000005</c:v>
                      </c:pt>
                      <c:pt idx="365">
                        <c:v>-14996.088900000006</c:v>
                      </c:pt>
                      <c:pt idx="366">
                        <c:v>-19488.560310000001</c:v>
                      </c:pt>
                      <c:pt idx="367">
                        <c:v>-23628.643281818182</c:v>
                      </c:pt>
                      <c:pt idx="368">
                        <c:v>-27504.434925000001</c:v>
                      </c:pt>
                      <c:pt idx="369">
                        <c:v>-31176.925546153852</c:v>
                      </c:pt>
                      <c:pt idx="370">
                        <c:v>-34689.679649999998</c:v>
                      </c:pt>
                      <c:pt idx="371">
                        <c:v>-38074.644539999994</c:v>
                      </c:pt>
                      <c:pt idx="372">
                        <c:v>-41355.780693750014</c:v>
                      </c:pt>
                      <c:pt idx="373">
                        <c:v>-44551.410829411769</c:v>
                      </c:pt>
                      <c:pt idx="374">
                        <c:v>-47675.785950000012</c:v>
                      </c:pt>
                      <c:pt idx="379">
                        <c:v>20994.843356999998</c:v>
                      </c:pt>
                      <c:pt idx="380">
                        <c:v>19211.984999999997</c:v>
                      </c:pt>
                      <c:pt idx="381">
                        <c:v>17432.336429999996</c:v>
                      </c:pt>
                      <c:pt idx="382">
                        <c:v>13055.865751386713</c:v>
                      </c:pt>
                      <c:pt idx="383">
                        <c:v>9065.5697473346463</c:v>
                      </c:pt>
                      <c:pt idx="384">
                        <c:v>5959.1784464812854</c:v>
                      </c:pt>
                      <c:pt idx="385">
                        <c:v>3294.8870606167907</c:v>
                      </c:pt>
                      <c:pt idx="386">
                        <c:v>790.83211747312396</c:v>
                      </c:pt>
                      <c:pt idx="387">
                        <c:v>-2508.1217702172316</c:v>
                      </c:pt>
                      <c:pt idx="388">
                        <c:v>-6274.5496066782889</c:v>
                      </c:pt>
                      <c:pt idx="389">
                        <c:v>-9535.100698790613</c:v>
                      </c:pt>
                      <c:pt idx="390">
                        <c:v>-12254.10432527692</c:v>
                      </c:pt>
                      <c:pt idx="391">
                        <c:v>-15070.547920625362</c:v>
                      </c:pt>
                      <c:pt idx="392">
                        <c:v>-17651.467538377048</c:v>
                      </c:pt>
                      <c:pt idx="393">
                        <c:v>-20047.325378970272</c:v>
                      </c:pt>
                      <c:pt idx="394">
                        <c:v>-22295.128853626815</c:v>
                      </c:pt>
                      <c:pt idx="395">
                        <c:v>-24484.96115878379</c:v>
                      </c:pt>
                      <c:pt idx="396">
                        <c:v>-26514.665649443567</c:v>
                      </c:pt>
                      <c:pt idx="397">
                        <c:v>-28461.944918918918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4B2-45A3-AB96-99F315A21622}"/>
                  </c:ext>
                </c:extLst>
              </c15:ser>
            </c15:filteredScatterSeries>
          </c:ext>
        </c:extLst>
      </c:scatterChart>
      <c:valAx>
        <c:axId val="1056978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Moment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Mn or Demand Mu (kip-ft)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3807335859651177"/>
              <c:y val="6.1696245124586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34975"/>
        <c:crosses val="autoZero"/>
        <c:crossBetween val="midCat"/>
      </c:valAx>
      <c:valAx>
        <c:axId val="10474349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Axial Load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Pn or Demand Pu (kip)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'ID (Y) (30")'!$X$36:$X$216</c:f>
              <c:strCache>
                <c:ptCount val="181"/>
                <c:pt idx="1">
                  <c:v>-3</c:v>
                </c:pt>
                <c:pt idx="2">
                  <c:v>-14936</c:v>
                </c:pt>
                <c:pt idx="3">
                  <c:v>-29730</c:v>
                </c:pt>
                <c:pt idx="4">
                  <c:v>-44383</c:v>
                </c:pt>
                <c:pt idx="5">
                  <c:v>-61590</c:v>
                </c:pt>
                <c:pt idx="6">
                  <c:v>-81524</c:v>
                </c:pt>
                <c:pt idx="7">
                  <c:v>-99461</c:v>
                </c:pt>
                <c:pt idx="8">
                  <c:v>-116197</c:v>
                </c:pt>
                <c:pt idx="9">
                  <c:v>-132130</c:v>
                </c:pt>
                <c:pt idx="10">
                  <c:v>-147479</c:v>
                </c:pt>
                <c:pt idx="11">
                  <c:v>-162377</c:v>
                </c:pt>
                <c:pt idx="12">
                  <c:v>-176909</c:v>
                </c:pt>
                <c:pt idx="13">
                  <c:v>-191130</c:v>
                </c:pt>
                <c:pt idx="14">
                  <c:v>-205081</c:v>
                </c:pt>
                <c:pt idx="15">
                  <c:v>-218788</c:v>
                </c:pt>
                <c:pt idx="16">
                  <c:v>-232272</c:v>
                </c:pt>
                <c:pt idx="17">
                  <c:v>-245548</c:v>
                </c:pt>
                <c:pt idx="18">
                  <c:v>-258628</c:v>
                </c:pt>
                <c:pt idx="19">
                  <c:v>-271520</c:v>
                </c:pt>
                <c:pt idx="30">
                  <c:v>-3</c:v>
                </c:pt>
                <c:pt idx="31">
                  <c:v>-14936</c:v>
                </c:pt>
                <c:pt idx="32">
                  <c:v>-29730</c:v>
                </c:pt>
                <c:pt idx="33">
                  <c:v>-44383</c:v>
                </c:pt>
                <c:pt idx="34">
                  <c:v>-62937</c:v>
                </c:pt>
                <c:pt idx="35">
                  <c:v>-85653</c:v>
                </c:pt>
                <c:pt idx="36">
                  <c:v>-105446</c:v>
                </c:pt>
                <c:pt idx="37">
                  <c:v>-123507</c:v>
                </c:pt>
                <c:pt idx="38">
                  <c:v>-140433</c:v>
                </c:pt>
                <c:pt idx="39">
                  <c:v>-156554</c:v>
                </c:pt>
                <c:pt idx="40">
                  <c:v>-172071</c:v>
                </c:pt>
                <c:pt idx="41">
                  <c:v>-187109</c:v>
                </c:pt>
                <c:pt idx="42">
                  <c:v>-201752</c:v>
                </c:pt>
                <c:pt idx="43">
                  <c:v>-216059</c:v>
                </c:pt>
                <c:pt idx="44">
                  <c:v>-230072</c:v>
                </c:pt>
                <c:pt idx="45">
                  <c:v>-243821</c:v>
                </c:pt>
                <c:pt idx="46">
                  <c:v>-257328</c:v>
                </c:pt>
                <c:pt idx="47">
                  <c:v>-270613</c:v>
                </c:pt>
                <c:pt idx="48">
                  <c:v>-283688</c:v>
                </c:pt>
                <c:pt idx="55">
                  <c:v>φMn</c:v>
                </c:pt>
                <c:pt idx="56">
                  <c:v>kip-ft</c:v>
                </c:pt>
                <c:pt idx="58">
                  <c:v>-3</c:v>
                </c:pt>
                <c:pt idx="59">
                  <c:v>-14936</c:v>
                </c:pt>
                <c:pt idx="60">
                  <c:v>-29730</c:v>
                </c:pt>
                <c:pt idx="61">
                  <c:v>-44383</c:v>
                </c:pt>
                <c:pt idx="62">
                  <c:v>-64285</c:v>
                </c:pt>
                <c:pt idx="63">
                  <c:v>-89783</c:v>
                </c:pt>
                <c:pt idx="64">
                  <c:v>-111430</c:v>
                </c:pt>
                <c:pt idx="65">
                  <c:v>-130816</c:v>
                </c:pt>
                <c:pt idx="66">
                  <c:v>-148736</c:v>
                </c:pt>
                <c:pt idx="67">
                  <c:v>-165630</c:v>
                </c:pt>
                <c:pt idx="68">
                  <c:v>-181765</c:v>
                </c:pt>
                <c:pt idx="69">
                  <c:v>-197309</c:v>
                </c:pt>
                <c:pt idx="70">
                  <c:v>-212373</c:v>
                </c:pt>
                <c:pt idx="71">
                  <c:v>-227037</c:v>
                </c:pt>
                <c:pt idx="72">
                  <c:v>-241356</c:v>
                </c:pt>
                <c:pt idx="73">
                  <c:v>-255369</c:v>
                </c:pt>
                <c:pt idx="74">
                  <c:v>-269109</c:v>
                </c:pt>
                <c:pt idx="75">
                  <c:v>-282598</c:v>
                </c:pt>
                <c:pt idx="76">
                  <c:v>-295855</c:v>
                </c:pt>
                <c:pt idx="83">
                  <c:v>φMn</c:v>
                </c:pt>
                <c:pt idx="84">
                  <c:v>kip-ft</c:v>
                </c:pt>
                <c:pt idx="86">
                  <c:v>-3</c:v>
                </c:pt>
                <c:pt idx="87">
                  <c:v>-14936</c:v>
                </c:pt>
                <c:pt idx="88">
                  <c:v>-29730</c:v>
                </c:pt>
                <c:pt idx="89">
                  <c:v>-44383</c:v>
                </c:pt>
                <c:pt idx="90">
                  <c:v>-65633</c:v>
                </c:pt>
                <c:pt idx="91">
                  <c:v>-93913</c:v>
                </c:pt>
                <c:pt idx="92">
                  <c:v>-117415</c:v>
                </c:pt>
                <c:pt idx="93">
                  <c:v>-138126</c:v>
                </c:pt>
                <c:pt idx="94">
                  <c:v>-157039</c:v>
                </c:pt>
                <c:pt idx="95">
                  <c:v>-174706</c:v>
                </c:pt>
                <c:pt idx="96">
                  <c:v>-191459</c:v>
                </c:pt>
                <c:pt idx="97">
                  <c:v>-207509</c:v>
                </c:pt>
                <c:pt idx="98">
                  <c:v>-222995</c:v>
                </c:pt>
                <c:pt idx="99">
                  <c:v>-238016</c:v>
                </c:pt>
                <c:pt idx="100">
                  <c:v>-252640</c:v>
                </c:pt>
                <c:pt idx="101">
                  <c:v>-266918</c:v>
                </c:pt>
                <c:pt idx="102">
                  <c:v>-280890</c:v>
                </c:pt>
                <c:pt idx="103">
                  <c:v>-294584</c:v>
                </c:pt>
                <c:pt idx="104">
                  <c:v>-308022</c:v>
                </c:pt>
                <c:pt idx="111">
                  <c:v>φMn</c:v>
                </c:pt>
                <c:pt idx="112">
                  <c:v>kip-ft</c:v>
                </c:pt>
                <c:pt idx="114">
                  <c:v>-3</c:v>
                </c:pt>
                <c:pt idx="115">
                  <c:v>-14936</c:v>
                </c:pt>
                <c:pt idx="116">
                  <c:v>-29730</c:v>
                </c:pt>
                <c:pt idx="117">
                  <c:v>-44383</c:v>
                </c:pt>
                <c:pt idx="118">
                  <c:v>-66980</c:v>
                </c:pt>
                <c:pt idx="119">
                  <c:v>-98043</c:v>
                </c:pt>
                <c:pt idx="120">
                  <c:v>-123400</c:v>
                </c:pt>
                <c:pt idx="121">
                  <c:v>-145435</c:v>
                </c:pt>
                <c:pt idx="122">
                  <c:v>-165342</c:v>
                </c:pt>
                <c:pt idx="123">
                  <c:v>-183782</c:v>
                </c:pt>
                <c:pt idx="124">
                  <c:v>-201153</c:v>
                </c:pt>
                <c:pt idx="125">
                  <c:v>-217709</c:v>
                </c:pt>
                <c:pt idx="126">
                  <c:v>-233617</c:v>
                </c:pt>
                <c:pt idx="127">
                  <c:v>-248994</c:v>
                </c:pt>
                <c:pt idx="128">
                  <c:v>-263924</c:v>
                </c:pt>
                <c:pt idx="129">
                  <c:v>-278467</c:v>
                </c:pt>
                <c:pt idx="130">
                  <c:v>-292671</c:v>
                </c:pt>
                <c:pt idx="131">
                  <c:v>-306569</c:v>
                </c:pt>
                <c:pt idx="132">
                  <c:v>-320189</c:v>
                </c:pt>
                <c:pt idx="139">
                  <c:v>φMn</c:v>
                </c:pt>
                <c:pt idx="140">
                  <c:v>kip-ft</c:v>
                </c:pt>
                <c:pt idx="142">
                  <c:v>-3</c:v>
                </c:pt>
                <c:pt idx="143">
                  <c:v>-14936</c:v>
                </c:pt>
                <c:pt idx="144">
                  <c:v>-29730</c:v>
                </c:pt>
                <c:pt idx="145">
                  <c:v>-44383</c:v>
                </c:pt>
                <c:pt idx="146">
                  <c:v>-68328</c:v>
                </c:pt>
                <c:pt idx="147">
                  <c:v>-102173</c:v>
                </c:pt>
                <c:pt idx="148">
                  <c:v>-129384</c:v>
                </c:pt>
                <c:pt idx="149">
                  <c:v>-152745</c:v>
                </c:pt>
                <c:pt idx="150">
                  <c:v>-173645</c:v>
                </c:pt>
                <c:pt idx="151">
                  <c:v>-192858</c:v>
                </c:pt>
                <c:pt idx="152">
                  <c:v>-210848</c:v>
                </c:pt>
                <c:pt idx="153">
                  <c:v>-227909</c:v>
                </c:pt>
                <c:pt idx="154">
                  <c:v>-244238</c:v>
                </c:pt>
                <c:pt idx="155">
                  <c:v>-259972</c:v>
                </c:pt>
                <c:pt idx="156">
                  <c:v>-275208</c:v>
                </c:pt>
                <c:pt idx="157">
                  <c:v>-290016</c:v>
                </c:pt>
                <c:pt idx="158">
                  <c:v>-304452</c:v>
                </c:pt>
                <c:pt idx="159">
                  <c:v>-318554</c:v>
                </c:pt>
                <c:pt idx="160">
                  <c:v>-332356</c:v>
                </c:pt>
                <c:pt idx="167">
                  <c:v>φMn</c:v>
                </c:pt>
                <c:pt idx="168">
                  <c:v>kip-ft</c:v>
                </c:pt>
                <c:pt idx="170">
                  <c:v>-3</c:v>
                </c:pt>
                <c:pt idx="171">
                  <c:v>-14936</c:v>
                </c:pt>
                <c:pt idx="172">
                  <c:v>-29730</c:v>
                </c:pt>
                <c:pt idx="173">
                  <c:v>-44383</c:v>
                </c:pt>
                <c:pt idx="174">
                  <c:v>-69676</c:v>
                </c:pt>
                <c:pt idx="175">
                  <c:v>-106303</c:v>
                </c:pt>
                <c:pt idx="176">
                  <c:v>-135369</c:v>
                </c:pt>
                <c:pt idx="177">
                  <c:v>-160054</c:v>
                </c:pt>
                <c:pt idx="178">
                  <c:v>-181948</c:v>
                </c:pt>
                <c:pt idx="179">
                  <c:v>-201934</c:v>
                </c:pt>
                <c:pt idx="180">
                  <c:v>-220542</c:v>
                </c:pt>
              </c:strCache>
            </c:strRef>
          </c:xVal>
          <c:yVal>
            <c:numRef>
              <c:f>'ID (Y) (30")'!$W$36:$W$216</c:f>
              <c:numCache>
                <c:formatCode>0</c:formatCode>
                <c:ptCount val="181"/>
                <c:pt idx="1">
                  <c:v>4665.3734834999996</c:v>
                </c:pt>
                <c:pt idx="2">
                  <c:v>3533.0174999999999</c:v>
                </c:pt>
                <c:pt idx="3">
                  <c:v>2400.4349999999999</c:v>
                </c:pt>
                <c:pt idx="4">
                  <c:v>1267.8525</c:v>
                </c:pt>
                <c:pt idx="5">
                  <c:v>-89.343000000001211</c:v>
                </c:pt>
                <c:pt idx="6">
                  <c:v>-1685.6180999999997</c:v>
                </c:pt>
                <c:pt idx="7">
                  <c:v>-3127.3289999999997</c:v>
                </c:pt>
                <c:pt idx="8">
                  <c:v>-4480.7174999999997</c:v>
                </c:pt>
                <c:pt idx="9">
                  <c:v>-5778.9045000000015</c:v>
                </c:pt>
                <c:pt idx="10">
                  <c:v>-7040.2905000000019</c:v>
                </c:pt>
                <c:pt idx="11">
                  <c:v>-8275.9158000000007</c:v>
                </c:pt>
                <c:pt idx="12">
                  <c:v>-9492.8060454545484</c:v>
                </c:pt>
                <c:pt idx="13">
                  <c:v>-10695.645</c:v>
                </c:pt>
                <c:pt idx="14">
                  <c:v>-11887.675269230771</c:v>
                </c:pt>
                <c:pt idx="15">
                  <c:v>-13071.213</c:v>
                </c:pt>
                <c:pt idx="16">
                  <c:v>-14247.956699999997</c:v>
                </c:pt>
                <c:pt idx="17">
                  <c:v>-15419.180250000001</c:v>
                </c:pt>
                <c:pt idx="18">
                  <c:v>-16585.857794117648</c:v>
                </c:pt>
                <c:pt idx="19">
                  <c:v>-17748.747000000007</c:v>
                </c:pt>
                <c:pt idx="30">
                  <c:v>6998.1734834999997</c:v>
                </c:pt>
                <c:pt idx="31">
                  <c:v>5865.8175000000001</c:v>
                </c:pt>
                <c:pt idx="32">
                  <c:v>4733.2349999999997</c:v>
                </c:pt>
                <c:pt idx="33">
                  <c:v>3600.6525000000001</c:v>
                </c:pt>
                <c:pt idx="34">
                  <c:v>2131.1504999999984</c:v>
                </c:pt>
                <c:pt idx="35">
                  <c:v>303.02909999999883</c:v>
                </c:pt>
                <c:pt idx="36">
                  <c:v>-1293.2460000000005</c:v>
                </c:pt>
                <c:pt idx="37">
                  <c:v>-2757.0375000000008</c:v>
                </c:pt>
                <c:pt idx="38">
                  <c:v>-4138.0267500000027</c:v>
                </c:pt>
                <c:pt idx="39">
                  <c:v>-5463.8145000000031</c:v>
                </c:pt>
                <c:pt idx="40">
                  <c:v>-6750.9612000000006</c:v>
                </c:pt>
                <c:pt idx="41">
                  <c:v>-8010.0053181818203</c:v>
                </c:pt>
                <c:pt idx="42">
                  <c:v>-9247.9725000000017</c:v>
                </c:pt>
                <c:pt idx="43">
                  <c:v>-10469.726653846154</c:v>
                </c:pt>
                <c:pt idx="44">
                  <c:v>-11678.742000000002</c:v>
                </c:pt>
                <c:pt idx="45">
                  <c:v>-12877.566299999997</c:v>
                </c:pt>
                <c:pt idx="46">
                  <c:v>-14068.110375000004</c:v>
                </c:pt>
                <c:pt idx="47">
                  <c:v>-15251.835441176474</c:v>
                </c:pt>
                <c:pt idx="48">
                  <c:v>-16429.878000000004</c:v>
                </c:pt>
                <c:pt idx="55" formatCode="General">
                  <c:v>0</c:v>
                </c:pt>
                <c:pt idx="56" formatCode="General">
                  <c:v>0</c:v>
                </c:pt>
                <c:pt idx="58">
                  <c:v>9330.9734835000017</c:v>
                </c:pt>
                <c:pt idx="59">
                  <c:v>8198.6175000000003</c:v>
                </c:pt>
                <c:pt idx="60">
                  <c:v>7066.0349999999999</c:v>
                </c:pt>
                <c:pt idx="61">
                  <c:v>5933.4525000000003</c:v>
                </c:pt>
                <c:pt idx="62">
                  <c:v>4351.6439999999984</c:v>
                </c:pt>
                <c:pt idx="63">
                  <c:v>2291.6763000000005</c:v>
                </c:pt>
                <c:pt idx="64">
                  <c:v>540.83700000000113</c:v>
                </c:pt>
                <c:pt idx="65">
                  <c:v>-1033.3574999999994</c:v>
                </c:pt>
                <c:pt idx="66">
                  <c:v>-2497.1490000000008</c:v>
                </c:pt>
                <c:pt idx="67">
                  <c:v>-3887.3385000000012</c:v>
                </c:pt>
                <c:pt idx="68">
                  <c:v>-5226.0065999999997</c:v>
                </c:pt>
                <c:pt idx="69">
                  <c:v>-6527.2045909090921</c:v>
                </c:pt>
                <c:pt idx="70">
                  <c:v>-7800.3</c:v>
                </c:pt>
                <c:pt idx="71">
                  <c:v>-9051.778038461538</c:v>
                </c:pt>
                <c:pt idx="72">
                  <c:v>-10286.271000000001</c:v>
                </c:pt>
                <c:pt idx="73">
                  <c:v>-11507.175899999997</c:v>
                </c:pt>
                <c:pt idx="74">
                  <c:v>-12717.040500000003</c:v>
                </c:pt>
                <c:pt idx="75">
                  <c:v>-13917.813088235296</c:v>
                </c:pt>
                <c:pt idx="76">
                  <c:v>-15111.009000000005</c:v>
                </c:pt>
                <c:pt idx="83" formatCode="General">
                  <c:v>0</c:v>
                </c:pt>
                <c:pt idx="84" formatCode="General">
                  <c:v>0</c:v>
                </c:pt>
                <c:pt idx="86">
                  <c:v>11663.773483500001</c:v>
                </c:pt>
                <c:pt idx="87">
                  <c:v>10531.417500000001</c:v>
                </c:pt>
                <c:pt idx="88">
                  <c:v>9398.8349999999991</c:v>
                </c:pt>
                <c:pt idx="89">
                  <c:v>8266.2525000000005</c:v>
                </c:pt>
                <c:pt idx="90">
                  <c:v>6572.1374999999989</c:v>
                </c:pt>
                <c:pt idx="91">
                  <c:v>4280.3235000000013</c:v>
                </c:pt>
                <c:pt idx="92">
                  <c:v>2374.92</c:v>
                </c:pt>
                <c:pt idx="93">
                  <c:v>690.32249999999965</c:v>
                </c:pt>
                <c:pt idx="94">
                  <c:v>-856.27125000000194</c:v>
                </c:pt>
                <c:pt idx="95">
                  <c:v>-2310.8625000000034</c:v>
                </c:pt>
                <c:pt idx="96">
                  <c:v>-3701.0520000000006</c:v>
                </c:pt>
                <c:pt idx="97">
                  <c:v>-5044.4038636363648</c:v>
                </c:pt>
                <c:pt idx="98">
                  <c:v>-6352.6275000000005</c:v>
                </c:pt>
                <c:pt idx="99">
                  <c:v>-7633.8294230769225</c:v>
                </c:pt>
                <c:pt idx="100">
                  <c:v>-8893.8000000000011</c:v>
                </c:pt>
                <c:pt idx="101">
                  <c:v>-10136.785499999996</c:v>
                </c:pt>
                <c:pt idx="102">
                  <c:v>-11365.970625000002</c:v>
                </c:pt>
                <c:pt idx="103">
                  <c:v>-12583.79073529412</c:v>
                </c:pt>
                <c:pt idx="104">
                  <c:v>-13792.140000000005</c:v>
                </c:pt>
                <c:pt idx="111" formatCode="General">
                  <c:v>0</c:v>
                </c:pt>
                <c:pt idx="112" formatCode="General">
                  <c:v>0</c:v>
                </c:pt>
                <c:pt idx="114">
                  <c:v>13996.5734835</c:v>
                </c:pt>
                <c:pt idx="115">
                  <c:v>12864.217500000001</c:v>
                </c:pt>
                <c:pt idx="116">
                  <c:v>11731.635</c:v>
                </c:pt>
                <c:pt idx="117">
                  <c:v>10599.0525</c:v>
                </c:pt>
                <c:pt idx="118">
                  <c:v>8792.6309999999976</c:v>
                </c:pt>
                <c:pt idx="119">
                  <c:v>6268.970699999998</c:v>
                </c:pt>
                <c:pt idx="120">
                  <c:v>4209.0029999999997</c:v>
                </c:pt>
                <c:pt idx="121">
                  <c:v>2414.0024999999987</c:v>
                </c:pt>
                <c:pt idx="122">
                  <c:v>784.60649999999657</c:v>
                </c:pt>
                <c:pt idx="123">
                  <c:v>-734.38650000000382</c:v>
                </c:pt>
                <c:pt idx="124">
                  <c:v>-2176.0974000000006</c:v>
                </c:pt>
                <c:pt idx="125">
                  <c:v>-3561.6031363636384</c:v>
                </c:pt>
                <c:pt idx="126">
                  <c:v>-4904.9550000000008</c:v>
                </c:pt>
                <c:pt idx="127">
                  <c:v>-6215.8808076923087</c:v>
                </c:pt>
                <c:pt idx="128">
                  <c:v>-7501.3290000000015</c:v>
                </c:pt>
                <c:pt idx="129">
                  <c:v>-8766.3950999999979</c:v>
                </c:pt>
                <c:pt idx="130">
                  <c:v>-10014.900750000003</c:v>
                </c:pt>
                <c:pt idx="131">
                  <c:v>-11249.768382352944</c:v>
                </c:pt>
                <c:pt idx="132">
                  <c:v>-12473.271000000006</c:v>
                </c:pt>
                <c:pt idx="139" formatCode="General">
                  <c:v>0</c:v>
                </c:pt>
                <c:pt idx="140" formatCode="General">
                  <c:v>0</c:v>
                </c:pt>
                <c:pt idx="142">
                  <c:v>16329.373483500001</c:v>
                </c:pt>
                <c:pt idx="143">
                  <c:v>15197.017500000002</c:v>
                </c:pt>
                <c:pt idx="144">
                  <c:v>14064.434999999999</c:v>
                </c:pt>
                <c:pt idx="145">
                  <c:v>12931.852500000001</c:v>
                </c:pt>
                <c:pt idx="146">
                  <c:v>11013.124499999998</c:v>
                </c:pt>
                <c:pt idx="147">
                  <c:v>8257.6178999999993</c:v>
                </c:pt>
                <c:pt idx="148">
                  <c:v>6043.0859999999984</c:v>
                </c:pt>
                <c:pt idx="149">
                  <c:v>4137.6824999999999</c:v>
                </c:pt>
                <c:pt idx="150">
                  <c:v>2425.4842499999986</c:v>
                </c:pt>
                <c:pt idx="151">
                  <c:v>842.08949999999732</c:v>
                </c:pt>
                <c:pt idx="152">
                  <c:v>-651.14280000000019</c:v>
                </c:pt>
                <c:pt idx="153">
                  <c:v>-2078.8024090909107</c:v>
                </c:pt>
                <c:pt idx="154">
                  <c:v>-3457.2825000000012</c:v>
                </c:pt>
                <c:pt idx="155">
                  <c:v>-4797.9321923076932</c:v>
                </c:pt>
                <c:pt idx="156">
                  <c:v>-6108.8580000000011</c:v>
                </c:pt>
                <c:pt idx="157">
                  <c:v>-7396.0046999999968</c:v>
                </c:pt>
                <c:pt idx="158">
                  <c:v>-8663.8308750000033</c:v>
                </c:pt>
                <c:pt idx="159">
                  <c:v>-9915.7460294117682</c:v>
                </c:pt>
                <c:pt idx="160">
                  <c:v>-11154.402000000006</c:v>
                </c:pt>
                <c:pt idx="167" formatCode="General">
                  <c:v>0</c:v>
                </c:pt>
                <c:pt idx="168" formatCode="General">
                  <c:v>0</c:v>
                </c:pt>
                <c:pt idx="170">
                  <c:v>18662.173483500002</c:v>
                </c:pt>
                <c:pt idx="171">
                  <c:v>17529.817500000001</c:v>
                </c:pt>
                <c:pt idx="172">
                  <c:v>16397.235000000001</c:v>
                </c:pt>
                <c:pt idx="173">
                  <c:v>15264.652499999998</c:v>
                </c:pt>
                <c:pt idx="174">
                  <c:v>13233.617999999997</c:v>
                </c:pt>
                <c:pt idx="175">
                  <c:v>10246.265100000002</c:v>
                </c:pt>
                <c:pt idx="176">
                  <c:v>7877.1690000000035</c:v>
                </c:pt>
                <c:pt idx="177">
                  <c:v>5861.362500000002</c:v>
                </c:pt>
                <c:pt idx="178">
                  <c:v>4066.3620000000005</c:v>
                </c:pt>
                <c:pt idx="179">
                  <c:v>2418.5655000000002</c:v>
                </c:pt>
                <c:pt idx="180">
                  <c:v>873.81180000000165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9F-4A7E-9387-58AB03640E11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'ID (Y) (30")'!$W$4:$AA$4</c:f>
              <c:numCache>
                <c:formatCode>General</c:formatCode>
                <c:ptCount val="5"/>
              </c:numCache>
            </c:numRef>
          </c:xVal>
          <c:yVal>
            <c:numRef>
              <c:f>'ID (Y) (30")'!$W$5:$AA$5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9F-4A7E-9387-58AB03640E1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 over Lw1 (Mu neg)'!$E$13:$E$42</c:f>
              <c:numCache>
                <c:formatCode>0</c:formatCode>
                <c:ptCount val="30"/>
                <c:pt idx="0">
                  <c:v>1.0913936421275138E-12</c:v>
                </c:pt>
                <c:pt idx="1">
                  <c:v>-1.8724630766617336</c:v>
                </c:pt>
                <c:pt idx="2">
                  <c:v>-1.8724630766606425</c:v>
                </c:pt>
                <c:pt idx="3">
                  <c:v>-1.8724630766606425</c:v>
                </c:pt>
                <c:pt idx="4">
                  <c:v>-1.8724630766606425</c:v>
                </c:pt>
                <c:pt idx="10">
                  <c:v>-54834.934275000007</c:v>
                </c:pt>
                <c:pt idx="11">
                  <c:v>-57038.986350000006</c:v>
                </c:pt>
                <c:pt idx="12">
                  <c:v>-59243.038425000013</c:v>
                </c:pt>
                <c:pt idx="13">
                  <c:v>-61447.090500000013</c:v>
                </c:pt>
                <c:pt idx="14">
                  <c:v>-63651.142575000005</c:v>
                </c:pt>
                <c:pt idx="17">
                  <c:v>-97711.751992500023</c:v>
                </c:pt>
                <c:pt idx="18">
                  <c:v>-101888.05161375001</c:v>
                </c:pt>
                <c:pt idx="19">
                  <c:v>-106064.35123500001</c:v>
                </c:pt>
                <c:pt idx="20">
                  <c:v>-110240.65085625002</c:v>
                </c:pt>
                <c:pt idx="21">
                  <c:v>-114416.95047750001</c:v>
                </c:pt>
                <c:pt idx="24" formatCode="General">
                  <c:v>54</c:v>
                </c:pt>
                <c:pt idx="25" formatCode="General">
                  <c:v>104</c:v>
                </c:pt>
                <c:pt idx="26" formatCode="General">
                  <c:v>154</c:v>
                </c:pt>
                <c:pt idx="27" formatCode="General">
                  <c:v>204</c:v>
                </c:pt>
                <c:pt idx="28" formatCode="General">
                  <c:v>254</c:v>
                </c:pt>
              </c:numCache>
            </c:numRef>
          </c:xVal>
          <c:yVal>
            <c:numRef>
              <c:f>'c over Lw1 (Mu neg)'!$D$13:$D$42</c:f>
              <c:numCache>
                <c:formatCode>0</c:formatCode>
                <c:ptCount val="30"/>
                <c:pt idx="0">
                  <c:v>4665.6000000000013</c:v>
                </c:pt>
                <c:pt idx="1">
                  <c:v>6997.8891329999997</c:v>
                </c:pt>
                <c:pt idx="2">
                  <c:v>9330.6891330000017</c:v>
                </c:pt>
                <c:pt idx="3">
                  <c:v>11663.489133000001</c:v>
                </c:pt>
                <c:pt idx="4">
                  <c:v>13996.289132999998</c:v>
                </c:pt>
                <c:pt idx="10">
                  <c:v>-12485.502000000002</c:v>
                </c:pt>
                <c:pt idx="11">
                  <c:v>-11065.248000000001</c:v>
                </c:pt>
                <c:pt idx="12">
                  <c:v>-9644.9940000000024</c:v>
                </c:pt>
                <c:pt idx="13">
                  <c:v>-8224.7400000000016</c:v>
                </c:pt>
                <c:pt idx="14">
                  <c:v>-6804.4860000000026</c:v>
                </c:pt>
                <c:pt idx="17">
                  <c:v>-29952.556650000006</c:v>
                </c:pt>
                <c:pt idx="18">
                  <c:v>-29602.824975000003</c:v>
                </c:pt>
                <c:pt idx="19">
                  <c:v>-29253.0933</c:v>
                </c:pt>
                <c:pt idx="20">
                  <c:v>-28903.361625000001</c:v>
                </c:pt>
                <c:pt idx="21">
                  <c:v>-28553.629950000002</c:v>
                </c:pt>
                <c:pt idx="24">
                  <c:v>-46355.309100000013</c:v>
                </c:pt>
                <c:pt idx="25">
                  <c:v>-46543.948650000006</c:v>
                </c:pt>
                <c:pt idx="26">
                  <c:v>-46732.588200000013</c:v>
                </c:pt>
                <c:pt idx="27">
                  <c:v>-46921.227750000013</c:v>
                </c:pt>
                <c:pt idx="28">
                  <c:v>-47109.867300000013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9F-4A7E-9387-58AB03640E11}"/>
            </c:ext>
          </c:extLst>
        </c:ser>
        <c:ser>
          <c:idx val="3"/>
          <c:order val="3"/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 over Lw1 (Mu pos)'!$E$13:$E$49</c:f>
              <c:numCache>
                <c:formatCode>0</c:formatCode>
                <c:ptCount val="37"/>
                <c:pt idx="0">
                  <c:v>14004.429468750006</c:v>
                </c:pt>
                <c:pt idx="1">
                  <c:v>14004.429468750001</c:v>
                </c:pt>
                <c:pt idx="2">
                  <c:v>14004.429468750002</c:v>
                </c:pt>
                <c:pt idx="3">
                  <c:v>14004.429468749999</c:v>
                </c:pt>
                <c:pt idx="4">
                  <c:v>14004.429468750002</c:v>
                </c:pt>
                <c:pt idx="11">
                  <c:v>27158.585702401131</c:v>
                </c:pt>
                <c:pt idx="12">
                  <c:v>27158.585702401131</c:v>
                </c:pt>
                <c:pt idx="13">
                  <c:v>27158.585702401138</c:v>
                </c:pt>
                <c:pt idx="14">
                  <c:v>27158.585702401131</c:v>
                </c:pt>
                <c:pt idx="15">
                  <c:v>27158.585702401138</c:v>
                </c:pt>
                <c:pt idx="21">
                  <c:v>42461.616306157222</c:v>
                </c:pt>
                <c:pt idx="22">
                  <c:v>43946.774135558582</c:v>
                </c:pt>
                <c:pt idx="23">
                  <c:v>45431.931964959935</c:v>
                </c:pt>
                <c:pt idx="24">
                  <c:v>46917.089794361309</c:v>
                </c:pt>
                <c:pt idx="25">
                  <c:v>48402.247623762669</c:v>
                </c:pt>
                <c:pt idx="31">
                  <c:v>42461.616306157222</c:v>
                </c:pt>
                <c:pt idx="32">
                  <c:v>43946.774135558582</c:v>
                </c:pt>
                <c:pt idx="33">
                  <c:v>45431.931964959935</c:v>
                </c:pt>
                <c:pt idx="34">
                  <c:v>46917.089794361309</c:v>
                </c:pt>
                <c:pt idx="35">
                  <c:v>48402.247623762669</c:v>
                </c:pt>
              </c:numCache>
            </c:numRef>
          </c:xVal>
          <c:yVal>
            <c:numRef>
              <c:f>'c over Lw1 (Mu pos)'!$D$13:$D$49</c:f>
              <c:numCache>
                <c:formatCode>0</c:formatCode>
                <c:ptCount val="37"/>
                <c:pt idx="0">
                  <c:v>2882.3850000000007</c:v>
                </c:pt>
                <c:pt idx="1">
                  <c:v>5215.1849999999986</c:v>
                </c:pt>
                <c:pt idx="2">
                  <c:v>7547.9850000000015</c:v>
                </c:pt>
                <c:pt idx="3">
                  <c:v>9880.7849999999999</c:v>
                </c:pt>
                <c:pt idx="4">
                  <c:v>12213.584999999999</c:v>
                </c:pt>
                <c:pt idx="11">
                  <c:v>1102.7364299999999</c:v>
                </c:pt>
                <c:pt idx="12">
                  <c:v>3435.5364299999983</c:v>
                </c:pt>
                <c:pt idx="13">
                  <c:v>5768.3364300000012</c:v>
                </c:pt>
                <c:pt idx="14">
                  <c:v>8101.1364299999996</c:v>
                </c:pt>
                <c:pt idx="15">
                  <c:v>10433.936429999998</c:v>
                </c:pt>
                <c:pt idx="21">
                  <c:v>-1253.9837196918395</c:v>
                </c:pt>
                <c:pt idx="22">
                  <c:v>790.2804904622393</c:v>
                </c:pt>
                <c:pt idx="23">
                  <c:v>2834.5447006163204</c:v>
                </c:pt>
                <c:pt idx="24">
                  <c:v>4878.8089107703991</c:v>
                </c:pt>
                <c:pt idx="25">
                  <c:v>6923.0731209244777</c:v>
                </c:pt>
                <c:pt idx="31">
                  <c:v>-3524.887275036745</c:v>
                </c:pt>
                <c:pt idx="32">
                  <c:v>-1726.250557555119</c:v>
                </c:pt>
                <c:pt idx="33">
                  <c:v>72.386159926510942</c:v>
                </c:pt>
                <c:pt idx="34">
                  <c:v>1871.0228774081377</c:v>
                </c:pt>
                <c:pt idx="35">
                  <c:v>3669.6595948897634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9F-4A7E-9387-58AB0364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88288"/>
        <c:axId val="130994560"/>
      </c:scatterChart>
      <c:valAx>
        <c:axId val="130988288"/>
        <c:scaling>
          <c:orientation val="minMax"/>
          <c:max val="50000"/>
          <c:min val="-50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solidFill>
                      <a:schemeClr val="tx1"/>
                    </a:solidFill>
                  </a:rPr>
                  <a:t>Design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Moment </a:t>
                </a:r>
                <a:r>
                  <a:rPr lang="el-GR" sz="1400" i="0" baseline="0">
                    <a:solidFill>
                      <a:schemeClr val="tx1"/>
                    </a:solidFill>
                  </a:rPr>
                  <a:t>φ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n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or Demand M</a:t>
                </a:r>
                <a:r>
                  <a:rPr lang="en-US" sz="1100" i="1" baseline="0">
                    <a:solidFill>
                      <a:schemeClr val="tx1"/>
                    </a:solidFill>
                  </a:rPr>
                  <a:t>u</a:t>
                </a:r>
                <a:r>
                  <a:rPr lang="en-US" sz="1400" i="1" baseline="0">
                    <a:solidFill>
                      <a:schemeClr val="tx1"/>
                    </a:solidFill>
                  </a:rPr>
                  <a:t> (kip-ft)</a:t>
                </a:r>
                <a:endParaRPr lang="en-US" sz="1400" i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94560"/>
        <c:crossesAt val="-150000"/>
        <c:crossBetween val="midCat"/>
      </c:valAx>
      <c:valAx>
        <c:axId val="130994560"/>
        <c:scaling>
          <c:orientation val="maxMin"/>
          <c:max val="8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</a:rPr>
                  <a:t>Design Axial Load </a:t>
                </a:r>
                <a:r>
                  <a:rPr lang="el-GR" sz="1400" b="0" i="0" baseline="0">
                    <a:effectLst/>
                  </a:rPr>
                  <a:t>φ</a:t>
                </a:r>
                <a:r>
                  <a:rPr lang="en-US" sz="1400" b="0" i="1" baseline="0">
                    <a:effectLst/>
                  </a:rPr>
                  <a:t>P</a:t>
                </a:r>
                <a:r>
                  <a:rPr lang="en-US" sz="1100" b="0" i="1" baseline="0">
                    <a:effectLst/>
                  </a:rPr>
                  <a:t>n</a:t>
                </a:r>
                <a:r>
                  <a:rPr lang="en-US" sz="1400" b="0" i="1" baseline="0">
                    <a:effectLst/>
                  </a:rPr>
                  <a:t> or Demand P</a:t>
                </a:r>
                <a:r>
                  <a:rPr lang="en-US" sz="1100" b="0" i="1" baseline="0">
                    <a:effectLst/>
                  </a:rPr>
                  <a:t>u</a:t>
                </a:r>
                <a:r>
                  <a:rPr lang="en-US" sz="1400" b="0" i="1" baseline="0">
                    <a:effectLst/>
                  </a:rPr>
                  <a:t> (kip)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88288"/>
        <c:crossesAt val="-15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P-M</a:t>
            </a:r>
            <a:r>
              <a:rPr lang="en-US" baseline="0"/>
              <a:t> INTERACTION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0.40%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 (Y) (30")'!$X$37:$X$55</c:f>
              <c:numCache>
                <c:formatCode>0</c:formatCode>
                <c:ptCount val="19"/>
                <c:pt idx="0">
                  <c:v>-3.0013407935432039</c:v>
                </c:pt>
                <c:pt idx="1">
                  <c:v>-14935.931718750004</c:v>
                </c:pt>
                <c:pt idx="2">
                  <c:v>-29730.290625000009</c:v>
                </c:pt>
                <c:pt idx="3">
                  <c:v>-44383.07671875001</c:v>
                </c:pt>
                <c:pt idx="4">
                  <c:v>-61589.646000000015</c:v>
                </c:pt>
                <c:pt idx="5">
                  <c:v>-81523.597668750008</c:v>
                </c:pt>
                <c:pt idx="6">
                  <c:v>-99461.206124999997</c:v>
                </c:pt>
                <c:pt idx="7">
                  <c:v>-116197.37296875</c:v>
                </c:pt>
                <c:pt idx="8">
                  <c:v>-132129.54900000003</c:v>
                </c:pt>
                <c:pt idx="9">
                  <c:v>-147478.54021875001</c:v>
                </c:pt>
                <c:pt idx="10">
                  <c:v>-162376.83022500001</c:v>
                </c:pt>
                <c:pt idx="11">
                  <c:v>-176908.72676420453</c:v>
                </c:pt>
                <c:pt idx="12">
                  <c:v>-191130.435</c:v>
                </c:pt>
                <c:pt idx="13">
                  <c:v>-205080.86619951922</c:v>
                </c:pt>
                <c:pt idx="14">
                  <c:v>-218787.814125</c:v>
                </c:pt>
                <c:pt idx="15">
                  <c:v>-232271.66086874995</c:v>
                </c:pt>
                <c:pt idx="16">
                  <c:v>-245547.69300000009</c:v>
                </c:pt>
                <c:pt idx="17">
                  <c:v>-258627.60024816182</c:v>
                </c:pt>
                <c:pt idx="18">
                  <c:v>-271520.47462500009</c:v>
                </c:pt>
              </c:numCache>
            </c:numRef>
          </c:xVal>
          <c:yVal>
            <c:numRef>
              <c:f>'ID (Y) (30")'!$W$37:$W$55</c:f>
              <c:numCache>
                <c:formatCode>0</c:formatCode>
                <c:ptCount val="19"/>
                <c:pt idx="0">
                  <c:v>4665.3734834999996</c:v>
                </c:pt>
                <c:pt idx="1">
                  <c:v>3533.0174999999999</c:v>
                </c:pt>
                <c:pt idx="2">
                  <c:v>2400.4349999999999</c:v>
                </c:pt>
                <c:pt idx="3">
                  <c:v>1267.8525</c:v>
                </c:pt>
                <c:pt idx="4">
                  <c:v>-89.343000000001211</c:v>
                </c:pt>
                <c:pt idx="5">
                  <c:v>-1685.6180999999997</c:v>
                </c:pt>
                <c:pt idx="6">
                  <c:v>-3127.3289999999997</c:v>
                </c:pt>
                <c:pt idx="7">
                  <c:v>-4480.7174999999997</c:v>
                </c:pt>
                <c:pt idx="8">
                  <c:v>-5778.9045000000015</c:v>
                </c:pt>
                <c:pt idx="9">
                  <c:v>-7040.2905000000019</c:v>
                </c:pt>
                <c:pt idx="10">
                  <c:v>-8275.9158000000007</c:v>
                </c:pt>
                <c:pt idx="11">
                  <c:v>-9492.8060454545484</c:v>
                </c:pt>
                <c:pt idx="12">
                  <c:v>-10695.645</c:v>
                </c:pt>
                <c:pt idx="13">
                  <c:v>-11887.675269230771</c:v>
                </c:pt>
                <c:pt idx="14">
                  <c:v>-13071.213</c:v>
                </c:pt>
                <c:pt idx="15">
                  <c:v>-14247.956699999997</c:v>
                </c:pt>
                <c:pt idx="16">
                  <c:v>-15419.180250000001</c:v>
                </c:pt>
                <c:pt idx="17">
                  <c:v>-16585.857794117648</c:v>
                </c:pt>
                <c:pt idx="18">
                  <c:v>-17748.747000000007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2FD-9F7E-02F9CDD23A67}"/>
            </c:ext>
          </c:extLst>
        </c:ser>
        <c:ser>
          <c:idx val="1"/>
          <c:order val="1"/>
          <c:tx>
            <c:v>0.60%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'ID (Y) (30")'!$X$66:$X$84</c:f>
              <c:numCache>
                <c:formatCode>0</c:formatCode>
                <c:ptCount val="19"/>
                <c:pt idx="0">
                  <c:v>-3.0013407935432039</c:v>
                </c:pt>
                <c:pt idx="1">
                  <c:v>-14935.931718750004</c:v>
                </c:pt>
                <c:pt idx="2">
                  <c:v>-29730.290625000009</c:v>
                </c:pt>
                <c:pt idx="3">
                  <c:v>-44383.07671875001</c:v>
                </c:pt>
                <c:pt idx="4">
                  <c:v>-62937.324000000015</c:v>
                </c:pt>
                <c:pt idx="5">
                  <c:v>-85653.431268750006</c:v>
                </c:pt>
                <c:pt idx="6">
                  <c:v>-105445.81012500002</c:v>
                </c:pt>
                <c:pt idx="7">
                  <c:v>-123506.81296875002</c:v>
                </c:pt>
                <c:pt idx="8">
                  <c:v>-140432.61600000001</c:v>
                </c:pt>
                <c:pt idx="9">
                  <c:v>-156554.42821875002</c:v>
                </c:pt>
                <c:pt idx="10">
                  <c:v>-172070.97502499999</c:v>
                </c:pt>
                <c:pt idx="11">
                  <c:v>-187108.71803693182</c:v>
                </c:pt>
                <c:pt idx="12">
                  <c:v>-201751.965</c:v>
                </c:pt>
                <c:pt idx="13">
                  <c:v>-216059.08281490384</c:v>
                </c:pt>
                <c:pt idx="14">
                  <c:v>-230071.76212500001</c:v>
                </c:pt>
                <c:pt idx="15">
                  <c:v>-243820.57606874997</c:v>
                </c:pt>
                <c:pt idx="16">
                  <c:v>-257328.45450000005</c:v>
                </c:pt>
                <c:pt idx="17">
                  <c:v>-270612.93201286771</c:v>
                </c:pt>
                <c:pt idx="18">
                  <c:v>-283687.64662500005</c:v>
                </c:pt>
              </c:numCache>
            </c:numRef>
          </c:xVal>
          <c:yVal>
            <c:numRef>
              <c:f>'ID (Y) (30")'!$W$66:$W$84</c:f>
              <c:numCache>
                <c:formatCode>0</c:formatCode>
                <c:ptCount val="19"/>
                <c:pt idx="0">
                  <c:v>6998.1734834999997</c:v>
                </c:pt>
                <c:pt idx="1">
                  <c:v>5865.8175000000001</c:v>
                </c:pt>
                <c:pt idx="2">
                  <c:v>4733.2349999999997</c:v>
                </c:pt>
                <c:pt idx="3">
                  <c:v>3600.6525000000001</c:v>
                </c:pt>
                <c:pt idx="4">
                  <c:v>2131.1504999999984</c:v>
                </c:pt>
                <c:pt idx="5">
                  <c:v>303.02909999999883</c:v>
                </c:pt>
                <c:pt idx="6">
                  <c:v>-1293.2460000000005</c:v>
                </c:pt>
                <c:pt idx="7">
                  <c:v>-2757.0375000000008</c:v>
                </c:pt>
                <c:pt idx="8">
                  <c:v>-4138.0267500000027</c:v>
                </c:pt>
                <c:pt idx="9">
                  <c:v>-5463.8145000000031</c:v>
                </c:pt>
                <c:pt idx="10">
                  <c:v>-6750.9612000000006</c:v>
                </c:pt>
                <c:pt idx="11">
                  <c:v>-8010.0053181818203</c:v>
                </c:pt>
                <c:pt idx="12">
                  <c:v>-9247.9725000000017</c:v>
                </c:pt>
                <c:pt idx="13">
                  <c:v>-10469.726653846154</c:v>
                </c:pt>
                <c:pt idx="14">
                  <c:v>-11678.742000000002</c:v>
                </c:pt>
                <c:pt idx="15">
                  <c:v>-12877.566299999997</c:v>
                </c:pt>
                <c:pt idx="16">
                  <c:v>-14068.110375000004</c:v>
                </c:pt>
                <c:pt idx="17">
                  <c:v>-15251.835441176474</c:v>
                </c:pt>
                <c:pt idx="18">
                  <c:v>-16429.878000000004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A-42FD-9F7E-02F9CDD23A67}"/>
            </c:ext>
          </c:extLst>
        </c:ser>
        <c:ser>
          <c:idx val="2"/>
          <c:order val="2"/>
          <c:tx>
            <c:v>0.80%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'ID (Y) (30")'!$X$94:$X$112</c:f>
              <c:numCache>
                <c:formatCode>0</c:formatCode>
                <c:ptCount val="19"/>
                <c:pt idx="0">
                  <c:v>-3.001340793538839</c:v>
                </c:pt>
                <c:pt idx="1">
                  <c:v>-14935.93171875</c:v>
                </c:pt>
                <c:pt idx="2">
                  <c:v>-29730.290625000009</c:v>
                </c:pt>
                <c:pt idx="3">
                  <c:v>-44383.07671875001</c:v>
                </c:pt>
                <c:pt idx="4">
                  <c:v>-64285.002000000015</c:v>
                </c:pt>
                <c:pt idx="5">
                  <c:v>-89783.264868750004</c:v>
                </c:pt>
                <c:pt idx="6">
                  <c:v>-111430.41412500002</c:v>
                </c:pt>
                <c:pt idx="7">
                  <c:v>-130816.25296874999</c:v>
                </c:pt>
                <c:pt idx="8">
                  <c:v>-148735.68300000002</c:v>
                </c:pt>
                <c:pt idx="9">
                  <c:v>-165630.31621875003</c:v>
                </c:pt>
                <c:pt idx="10">
                  <c:v>-181765.119825</c:v>
                </c:pt>
                <c:pt idx="11">
                  <c:v>-197308.70930965911</c:v>
                </c:pt>
                <c:pt idx="12">
                  <c:v>-212373.49499999997</c:v>
                </c:pt>
                <c:pt idx="13">
                  <c:v>-227037.29943028849</c:v>
                </c:pt>
                <c:pt idx="14">
                  <c:v>-241355.71012500004</c:v>
                </c:pt>
                <c:pt idx="15">
                  <c:v>-255369.49126874993</c:v>
                </c:pt>
                <c:pt idx="16">
                  <c:v>-269109.21600000007</c:v>
                </c:pt>
                <c:pt idx="17">
                  <c:v>-282598.26377757353</c:v>
                </c:pt>
                <c:pt idx="18">
                  <c:v>-295854.81862500007</c:v>
                </c:pt>
              </c:numCache>
            </c:numRef>
          </c:xVal>
          <c:yVal>
            <c:numRef>
              <c:f>'ID (Y) (30")'!$W$94:$W$112</c:f>
              <c:numCache>
                <c:formatCode>0</c:formatCode>
                <c:ptCount val="19"/>
                <c:pt idx="0">
                  <c:v>9330.9734835000017</c:v>
                </c:pt>
                <c:pt idx="1">
                  <c:v>8198.6175000000003</c:v>
                </c:pt>
                <c:pt idx="2">
                  <c:v>7066.0349999999999</c:v>
                </c:pt>
                <c:pt idx="3">
                  <c:v>5933.4525000000003</c:v>
                </c:pt>
                <c:pt idx="4">
                  <c:v>4351.6439999999984</c:v>
                </c:pt>
                <c:pt idx="5">
                  <c:v>2291.6763000000005</c:v>
                </c:pt>
                <c:pt idx="6">
                  <c:v>540.83700000000113</c:v>
                </c:pt>
                <c:pt idx="7">
                  <c:v>-1033.3574999999994</c:v>
                </c:pt>
                <c:pt idx="8">
                  <c:v>-2497.1490000000008</c:v>
                </c:pt>
                <c:pt idx="9">
                  <c:v>-3887.3385000000012</c:v>
                </c:pt>
                <c:pt idx="10">
                  <c:v>-5226.0065999999997</c:v>
                </c:pt>
                <c:pt idx="11">
                  <c:v>-6527.2045909090921</c:v>
                </c:pt>
                <c:pt idx="12">
                  <c:v>-7800.3</c:v>
                </c:pt>
                <c:pt idx="13">
                  <c:v>-9051.778038461538</c:v>
                </c:pt>
                <c:pt idx="14">
                  <c:v>-10286.271000000001</c:v>
                </c:pt>
                <c:pt idx="15">
                  <c:v>-11507.175899999997</c:v>
                </c:pt>
                <c:pt idx="16">
                  <c:v>-12717.040500000003</c:v>
                </c:pt>
                <c:pt idx="17">
                  <c:v>-13917.813088235296</c:v>
                </c:pt>
                <c:pt idx="18">
                  <c:v>-15111.009000000005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A-42FD-9F7E-02F9CDD23A67}"/>
            </c:ext>
          </c:extLst>
        </c:ser>
        <c:ser>
          <c:idx val="8"/>
          <c:order val="3"/>
          <c:tx>
            <c:v>-0.4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 (Y) (30")'!$Y$37:$Y$55</c:f>
              <c:numCache>
                <c:formatCode>0</c:formatCode>
                <c:ptCount val="19"/>
                <c:pt idx="0">
                  <c:v>3.0013407935432039</c:v>
                </c:pt>
                <c:pt idx="1">
                  <c:v>14935.931718750004</c:v>
                </c:pt>
                <c:pt idx="2">
                  <c:v>29730.290625000009</c:v>
                </c:pt>
                <c:pt idx="3">
                  <c:v>44383.07671875001</c:v>
                </c:pt>
                <c:pt idx="4">
                  <c:v>61589.646000000015</c:v>
                </c:pt>
                <c:pt idx="5">
                  <c:v>81523.597668750008</c:v>
                </c:pt>
                <c:pt idx="6">
                  <c:v>99461.206124999997</c:v>
                </c:pt>
                <c:pt idx="7">
                  <c:v>116197.37296875</c:v>
                </c:pt>
                <c:pt idx="8">
                  <c:v>132129.54900000003</c:v>
                </c:pt>
                <c:pt idx="9">
                  <c:v>147478.54021875001</c:v>
                </c:pt>
                <c:pt idx="10">
                  <c:v>162376.83022500001</c:v>
                </c:pt>
                <c:pt idx="11">
                  <c:v>176908.72676420453</c:v>
                </c:pt>
                <c:pt idx="12">
                  <c:v>191130.435</c:v>
                </c:pt>
                <c:pt idx="13">
                  <c:v>205080.86619951922</c:v>
                </c:pt>
                <c:pt idx="14">
                  <c:v>218787.814125</c:v>
                </c:pt>
                <c:pt idx="15">
                  <c:v>232271.66086874995</c:v>
                </c:pt>
                <c:pt idx="16">
                  <c:v>245547.69300000009</c:v>
                </c:pt>
                <c:pt idx="17">
                  <c:v>258627.60024816182</c:v>
                </c:pt>
                <c:pt idx="18">
                  <c:v>271520.47462500009</c:v>
                </c:pt>
              </c:numCache>
            </c:numRef>
          </c:xVal>
          <c:yVal>
            <c:numRef>
              <c:f>'ID (Y) (30")'!$W$37:$W$55</c:f>
              <c:numCache>
                <c:formatCode>0</c:formatCode>
                <c:ptCount val="19"/>
                <c:pt idx="0">
                  <c:v>4665.3734834999996</c:v>
                </c:pt>
                <c:pt idx="1">
                  <c:v>3533.0174999999999</c:v>
                </c:pt>
                <c:pt idx="2">
                  <c:v>2400.4349999999999</c:v>
                </c:pt>
                <c:pt idx="3">
                  <c:v>1267.8525</c:v>
                </c:pt>
                <c:pt idx="4">
                  <c:v>-89.343000000001211</c:v>
                </c:pt>
                <c:pt idx="5">
                  <c:v>-1685.6180999999997</c:v>
                </c:pt>
                <c:pt idx="6">
                  <c:v>-3127.3289999999997</c:v>
                </c:pt>
                <c:pt idx="7">
                  <c:v>-4480.7174999999997</c:v>
                </c:pt>
                <c:pt idx="8">
                  <c:v>-5778.9045000000015</c:v>
                </c:pt>
                <c:pt idx="9">
                  <c:v>-7040.2905000000019</c:v>
                </c:pt>
                <c:pt idx="10">
                  <c:v>-8275.9158000000007</c:v>
                </c:pt>
                <c:pt idx="11">
                  <c:v>-9492.8060454545484</c:v>
                </c:pt>
                <c:pt idx="12">
                  <c:v>-10695.645</c:v>
                </c:pt>
                <c:pt idx="13">
                  <c:v>-11887.675269230771</c:v>
                </c:pt>
                <c:pt idx="14">
                  <c:v>-13071.213</c:v>
                </c:pt>
                <c:pt idx="15">
                  <c:v>-14247.956699999997</c:v>
                </c:pt>
                <c:pt idx="16">
                  <c:v>-15419.180250000001</c:v>
                </c:pt>
                <c:pt idx="17">
                  <c:v>-16585.857794117648</c:v>
                </c:pt>
                <c:pt idx="18">
                  <c:v>-17748.747000000007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6EA-42FD-9F7E-02F9CDD23A67}"/>
            </c:ext>
          </c:extLst>
        </c:ser>
        <c:ser>
          <c:idx val="9"/>
          <c:order val="4"/>
          <c:tx>
            <c:v>-0.6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 (Y) (30")'!$Y$66:$Y$84</c:f>
              <c:numCache>
                <c:formatCode>0</c:formatCode>
                <c:ptCount val="19"/>
                <c:pt idx="0">
                  <c:v>3.0013407935432039</c:v>
                </c:pt>
                <c:pt idx="1">
                  <c:v>14935.931718750004</c:v>
                </c:pt>
                <c:pt idx="2">
                  <c:v>29730.290625000009</c:v>
                </c:pt>
                <c:pt idx="3">
                  <c:v>44383.07671875001</c:v>
                </c:pt>
                <c:pt idx="4">
                  <c:v>62937.324000000015</c:v>
                </c:pt>
                <c:pt idx="5">
                  <c:v>85653.431268750006</c:v>
                </c:pt>
                <c:pt idx="6">
                  <c:v>105445.81012500002</c:v>
                </c:pt>
                <c:pt idx="7">
                  <c:v>123506.81296875002</c:v>
                </c:pt>
                <c:pt idx="8">
                  <c:v>140432.61600000001</c:v>
                </c:pt>
                <c:pt idx="9">
                  <c:v>156554.42821875002</c:v>
                </c:pt>
                <c:pt idx="10">
                  <c:v>172070.97502499999</c:v>
                </c:pt>
                <c:pt idx="11">
                  <c:v>187108.71803693182</c:v>
                </c:pt>
                <c:pt idx="12">
                  <c:v>201751.965</c:v>
                </c:pt>
                <c:pt idx="13">
                  <c:v>216059.08281490384</c:v>
                </c:pt>
                <c:pt idx="14">
                  <c:v>230071.76212500001</c:v>
                </c:pt>
                <c:pt idx="15">
                  <c:v>243820.57606874997</c:v>
                </c:pt>
                <c:pt idx="16">
                  <c:v>257328.45450000005</c:v>
                </c:pt>
                <c:pt idx="17">
                  <c:v>270612.93201286771</c:v>
                </c:pt>
                <c:pt idx="18">
                  <c:v>283687.64662500005</c:v>
                </c:pt>
              </c:numCache>
            </c:numRef>
          </c:xVal>
          <c:yVal>
            <c:numRef>
              <c:f>'ID (Y) (30")'!$W$66:$W$84</c:f>
              <c:numCache>
                <c:formatCode>0</c:formatCode>
                <c:ptCount val="19"/>
                <c:pt idx="0">
                  <c:v>6998.1734834999997</c:v>
                </c:pt>
                <c:pt idx="1">
                  <c:v>5865.8175000000001</c:v>
                </c:pt>
                <c:pt idx="2">
                  <c:v>4733.2349999999997</c:v>
                </c:pt>
                <c:pt idx="3">
                  <c:v>3600.6525000000001</c:v>
                </c:pt>
                <c:pt idx="4">
                  <c:v>2131.1504999999984</c:v>
                </c:pt>
                <c:pt idx="5">
                  <c:v>303.02909999999883</c:v>
                </c:pt>
                <c:pt idx="6">
                  <c:v>-1293.2460000000005</c:v>
                </c:pt>
                <c:pt idx="7">
                  <c:v>-2757.0375000000008</c:v>
                </c:pt>
                <c:pt idx="8">
                  <c:v>-4138.0267500000027</c:v>
                </c:pt>
                <c:pt idx="9">
                  <c:v>-5463.8145000000031</c:v>
                </c:pt>
                <c:pt idx="10">
                  <c:v>-6750.9612000000006</c:v>
                </c:pt>
                <c:pt idx="11">
                  <c:v>-8010.0053181818203</c:v>
                </c:pt>
                <c:pt idx="12">
                  <c:v>-9247.9725000000017</c:v>
                </c:pt>
                <c:pt idx="13">
                  <c:v>-10469.726653846154</c:v>
                </c:pt>
                <c:pt idx="14">
                  <c:v>-11678.742000000002</c:v>
                </c:pt>
                <c:pt idx="15">
                  <c:v>-12877.566299999997</c:v>
                </c:pt>
                <c:pt idx="16">
                  <c:v>-14068.110375000004</c:v>
                </c:pt>
                <c:pt idx="17">
                  <c:v>-15251.835441176474</c:v>
                </c:pt>
                <c:pt idx="18">
                  <c:v>-16429.878000000004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6EA-42FD-9F7E-02F9CDD23A67}"/>
            </c:ext>
          </c:extLst>
        </c:ser>
        <c:ser>
          <c:idx val="10"/>
          <c:order val="5"/>
          <c:tx>
            <c:v>-0.8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'ID (Y) (30")'!$Y$94:$Y$112</c:f>
              <c:numCache>
                <c:formatCode>0</c:formatCode>
                <c:ptCount val="19"/>
                <c:pt idx="0">
                  <c:v>3.001340793538839</c:v>
                </c:pt>
                <c:pt idx="1">
                  <c:v>14935.93171875</c:v>
                </c:pt>
                <c:pt idx="2">
                  <c:v>29730.290625000009</c:v>
                </c:pt>
                <c:pt idx="3">
                  <c:v>44383.07671875001</c:v>
                </c:pt>
                <c:pt idx="4">
                  <c:v>64285.002000000015</c:v>
                </c:pt>
                <c:pt idx="5">
                  <c:v>89783.264868750004</c:v>
                </c:pt>
                <c:pt idx="6">
                  <c:v>111430.41412500002</c:v>
                </c:pt>
                <c:pt idx="7">
                  <c:v>130816.25296874999</c:v>
                </c:pt>
                <c:pt idx="8">
                  <c:v>148735.68300000002</c:v>
                </c:pt>
                <c:pt idx="9">
                  <c:v>165630.31621875003</c:v>
                </c:pt>
                <c:pt idx="10">
                  <c:v>181765.119825</c:v>
                </c:pt>
                <c:pt idx="11">
                  <c:v>197308.70930965911</c:v>
                </c:pt>
                <c:pt idx="12">
                  <c:v>212373.49499999997</c:v>
                </c:pt>
                <c:pt idx="13">
                  <c:v>227037.29943028849</c:v>
                </c:pt>
                <c:pt idx="14">
                  <c:v>241355.71012500004</c:v>
                </c:pt>
                <c:pt idx="15">
                  <c:v>255369.49126874993</c:v>
                </c:pt>
                <c:pt idx="16">
                  <c:v>269109.21600000007</c:v>
                </c:pt>
                <c:pt idx="17">
                  <c:v>282598.26377757353</c:v>
                </c:pt>
                <c:pt idx="18">
                  <c:v>295854.81862500007</c:v>
                </c:pt>
              </c:numCache>
            </c:numRef>
          </c:xVal>
          <c:yVal>
            <c:numRef>
              <c:f>'ID (Y) (30")'!$W$94:$W$113</c:f>
              <c:numCache>
                <c:formatCode>0</c:formatCode>
                <c:ptCount val="20"/>
                <c:pt idx="0">
                  <c:v>9330.9734835000017</c:v>
                </c:pt>
                <c:pt idx="1">
                  <c:v>8198.6175000000003</c:v>
                </c:pt>
                <c:pt idx="2">
                  <c:v>7066.0349999999999</c:v>
                </c:pt>
                <c:pt idx="3">
                  <c:v>5933.4525000000003</c:v>
                </c:pt>
                <c:pt idx="4">
                  <c:v>4351.6439999999984</c:v>
                </c:pt>
                <c:pt idx="5">
                  <c:v>2291.6763000000005</c:v>
                </c:pt>
                <c:pt idx="6">
                  <c:v>540.83700000000113</c:v>
                </c:pt>
                <c:pt idx="7">
                  <c:v>-1033.3574999999994</c:v>
                </c:pt>
                <c:pt idx="8">
                  <c:v>-2497.1490000000008</c:v>
                </c:pt>
                <c:pt idx="9">
                  <c:v>-3887.3385000000012</c:v>
                </c:pt>
                <c:pt idx="10">
                  <c:v>-5226.0065999999997</c:v>
                </c:pt>
                <c:pt idx="11">
                  <c:v>-6527.2045909090921</c:v>
                </c:pt>
                <c:pt idx="12">
                  <c:v>-7800.3</c:v>
                </c:pt>
                <c:pt idx="13">
                  <c:v>-9051.778038461538</c:v>
                </c:pt>
                <c:pt idx="14">
                  <c:v>-10286.271000000001</c:v>
                </c:pt>
                <c:pt idx="15">
                  <c:v>-11507.175899999997</c:v>
                </c:pt>
                <c:pt idx="16">
                  <c:v>-12717.040500000003</c:v>
                </c:pt>
                <c:pt idx="17">
                  <c:v>-13917.813088235296</c:v>
                </c:pt>
                <c:pt idx="18">
                  <c:v>-15111.009000000005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6EA-42FD-9F7E-02F9CDD23A67}"/>
            </c:ext>
          </c:extLst>
        </c:ser>
        <c:ser>
          <c:idx val="16"/>
          <c:order val="6"/>
          <c:tx>
            <c:v>0.9D-0.2Sds+1.0Exmax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7268137460758E-2"/>
                  <c:y val="4.701714217316309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D-47CD-B7DC-7AA57A45A3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(Y) (30")'!$AD$17</c:f>
              <c:numCache>
                <c:formatCode>General</c:formatCode>
                <c:ptCount val="1"/>
                <c:pt idx="0">
                  <c:v>147640</c:v>
                </c:pt>
              </c:numCache>
            </c:numRef>
          </c:xVal>
          <c:yVal>
            <c:numRef>
              <c:f>'ID (Y) (30")'!$AC$17</c:f>
              <c:numCache>
                <c:formatCode>General</c:formatCode>
                <c:ptCount val="1"/>
                <c:pt idx="0">
                  <c:v>-3742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D-47CD-B7DC-7AA57A45A36F}"/>
            </c:ext>
          </c:extLst>
        </c:ser>
        <c:ser>
          <c:idx val="17"/>
          <c:order val="7"/>
          <c:tx>
            <c:v>0.9D-0.2Sds+1.0Exmin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601759159526244E-2"/>
                  <c:y val="3.42234950467225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8D-47CD-B7DC-7AA57A45A3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(Y) (30")'!$AD$18</c:f>
              <c:numCache>
                <c:formatCode>General</c:formatCode>
                <c:ptCount val="1"/>
                <c:pt idx="0">
                  <c:v>-147640</c:v>
                </c:pt>
              </c:numCache>
            </c:numRef>
          </c:xVal>
          <c:yVal>
            <c:numRef>
              <c:f>'ID (Y) (30")'!$AC$18</c:f>
              <c:numCache>
                <c:formatCode>General</c:formatCode>
                <c:ptCount val="1"/>
                <c:pt idx="0">
                  <c:v>-3742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D-47CD-B7DC-7AA57A45A36F}"/>
            </c:ext>
          </c:extLst>
        </c:ser>
        <c:ser>
          <c:idx val="18"/>
          <c:order val="8"/>
          <c:tx>
            <c:v>1.2D+0.2Sds+0.5L+1.0Exmax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98420010897682E-2"/>
                  <c:y val="-3.31952087307543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8D-47CD-B7DC-7AA57A45A3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(Y) (30")'!$AD$19</c:f>
              <c:numCache>
                <c:formatCode>General</c:formatCode>
                <c:ptCount val="1"/>
                <c:pt idx="0">
                  <c:v>147640</c:v>
                </c:pt>
              </c:numCache>
            </c:numRef>
          </c:xVal>
          <c:yVal>
            <c:numRef>
              <c:f>'ID (Y) (30")'!$AC$19</c:f>
              <c:numCache>
                <c:formatCode>General</c:formatCode>
                <c:ptCount val="1"/>
                <c:pt idx="0">
                  <c:v>-9006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8D-47CD-B7DC-7AA57A45A36F}"/>
            </c:ext>
          </c:extLst>
        </c:ser>
        <c:ser>
          <c:idx val="19"/>
          <c:order val="9"/>
          <c:tx>
            <c:v>1.2D+0.2Sds+0.5L+1.0Exmin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537412241610942E-2"/>
                  <c:y val="-3.51243948933740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8D-47CD-B7DC-7AA57A45A36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(Y) (30")'!$AD$20</c:f>
              <c:numCache>
                <c:formatCode>General</c:formatCode>
                <c:ptCount val="1"/>
                <c:pt idx="0">
                  <c:v>-147640</c:v>
                </c:pt>
              </c:numCache>
            </c:numRef>
          </c:xVal>
          <c:yVal>
            <c:numRef>
              <c:f>'ID (Y) (30")'!$AC$20</c:f>
              <c:numCache>
                <c:formatCode>General</c:formatCode>
                <c:ptCount val="1"/>
                <c:pt idx="0">
                  <c:v>-9006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8D-47CD-B7DC-7AA57A45A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18383"/>
        <c:axId val="991673823"/>
      </c:scatterChart>
      <c:valAx>
        <c:axId val="9963183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Moment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Mn or Demand Mu (kip-ft)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73823"/>
        <c:crosses val="autoZero"/>
        <c:crossBetween val="midCat"/>
      </c:valAx>
      <c:valAx>
        <c:axId val="99167382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Axial Load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Pn or Demand Pu (kip)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P-M</a:t>
            </a:r>
            <a:r>
              <a:rPr lang="en-US" baseline="0"/>
              <a:t> INTERACTION CURVE (</a:t>
            </a:r>
            <a:r>
              <a:rPr lang="en-US" sz="1400" b="0" i="0" u="none" strike="noStrike" baseline="0">
                <a:effectLst/>
              </a:rPr>
              <a:t>NS Bending Moment</a:t>
            </a:r>
            <a:r>
              <a:rPr lang="en-US" baseline="0"/>
              <a:t>) (1.28%)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'ID (MX) (30")'!$U$9</c:f>
              <c:strCache>
                <c:ptCount val="1"/>
                <c:pt idx="0">
                  <c:v>0.9D - 0.2SDS + 1.0 Ex 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49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615052800897543E-2"/>
                  <c:y val="4.4298446512552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EE-4916-A505-496AAADFA4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(MX) (30")'!$W$9</c:f>
              <c:numCache>
                <c:formatCode>0.0</c:formatCode>
                <c:ptCount val="1"/>
                <c:pt idx="0">
                  <c:v>83313.867927114188</c:v>
                </c:pt>
              </c:numCache>
            </c:numRef>
          </c:xVal>
          <c:yVal>
            <c:numRef>
              <c:f>'ID (MX) (30")'!$V$9</c:f>
              <c:numCache>
                <c:formatCode>General</c:formatCode>
                <c:ptCount val="1"/>
                <c:pt idx="0">
                  <c:v>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E-4916-A505-496AAADFA4AA}"/>
            </c:ext>
          </c:extLst>
        </c:ser>
        <c:ser>
          <c:idx val="2"/>
          <c:order val="2"/>
          <c:tx>
            <c:strRef>
              <c:f>'ID (MX) (30")'!$U$10</c:f>
              <c:strCache>
                <c:ptCount val="1"/>
                <c:pt idx="0">
                  <c:v>0.9D - 0.2SDS + 1.0 Ex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2996894926333165E-2"/>
                  <c:y val="3.42916109186359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EE-4916-A505-496AAADFA4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(MX) (30")'!$W$10</c:f>
              <c:numCache>
                <c:formatCode>0.0</c:formatCode>
                <c:ptCount val="1"/>
                <c:pt idx="0">
                  <c:v>-97142.023540048758</c:v>
                </c:pt>
              </c:numCache>
            </c:numRef>
          </c:xVal>
          <c:yVal>
            <c:numRef>
              <c:f>'ID (MX) (30")'!$V$10</c:f>
              <c:numCache>
                <c:formatCode>General</c:formatCode>
                <c:ptCount val="1"/>
                <c:pt idx="0">
                  <c:v>-13858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E-4916-A505-496AAADFA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095"/>
        <c:axId val="1047434975"/>
      </c:scatterChart>
      <c:scatterChart>
        <c:scatterStyle val="smoothMarker"/>
        <c:varyColors val="0"/>
        <c:ser>
          <c:idx val="8"/>
          <c:order val="3"/>
          <c:tx>
            <c:v>1.28%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'ID (MX) (30")'!$U$60:$U$78</c:f>
              <c:numCache>
                <c:formatCode>0</c:formatCode>
                <c:ptCount val="19"/>
                <c:pt idx="0">
                  <c:v>3.2037145475139064</c:v>
                </c:pt>
                <c:pt idx="1">
                  <c:v>15560.477187500001</c:v>
                </c:pt>
                <c:pt idx="2">
                  <c:v>30176.206336001269</c:v>
                </c:pt>
                <c:pt idx="3">
                  <c:v>59131.789405814146</c:v>
                </c:pt>
                <c:pt idx="4">
                  <c:v>80420.99424217359</c:v>
                </c:pt>
                <c:pt idx="5">
                  <c:v>97399.288229323356</c:v>
                </c:pt>
                <c:pt idx="6">
                  <c:v>111765.20320846536</c:v>
                </c:pt>
                <c:pt idx="7">
                  <c:v>123466.75868787519</c:v>
                </c:pt>
                <c:pt idx="8">
                  <c:v>130517.54901263617</c:v>
                </c:pt>
                <c:pt idx="9">
                  <c:v>135210.19604512848</c:v>
                </c:pt>
                <c:pt idx="10">
                  <c:v>139696.80777894231</c:v>
                </c:pt>
                <c:pt idx="11">
                  <c:v>143784.68916221149</c:v>
                </c:pt>
                <c:pt idx="12">
                  <c:v>147345.3661020821</c:v>
                </c:pt>
                <c:pt idx="13">
                  <c:v>150289.8889029469</c:v>
                </c:pt>
                <c:pt idx="14">
                  <c:v>152554.71843058881</c:v>
                </c:pt>
                <c:pt idx="15">
                  <c:v>154093.25705652082</c:v>
                </c:pt>
                <c:pt idx="16">
                  <c:v>154881.83840449748</c:v>
                </c:pt>
                <c:pt idx="17">
                  <c:v>154846.25921526231</c:v>
                </c:pt>
                <c:pt idx="18">
                  <c:v>153998.09080399774</c:v>
                </c:pt>
              </c:numCache>
            </c:numRef>
          </c:xVal>
          <c:yVal>
            <c:numRef>
              <c:f>'ID (MX) (30")'!$T$60:$T$78</c:f>
              <c:numCache>
                <c:formatCode>0</c:formatCode>
                <c:ptCount val="19"/>
                <c:pt idx="0">
                  <c:v>19601.603729999999</c:v>
                </c:pt>
                <c:pt idx="1">
                  <c:v>17620.650000000001</c:v>
                </c:pt>
                <c:pt idx="2">
                  <c:v>15643.262699999999</c:v>
                </c:pt>
                <c:pt idx="3">
                  <c:v>10702.613701591315</c:v>
                </c:pt>
                <c:pt idx="4">
                  <c:v>7074.0638119598298</c:v>
                </c:pt>
                <c:pt idx="5">
                  <c:v>4105.7143487915819</c:v>
                </c:pt>
                <c:pt idx="6">
                  <c:v>1467.5753159545202</c:v>
                </c:pt>
                <c:pt idx="7">
                  <c:v>-2053.8627561719713</c:v>
                </c:pt>
                <c:pt idx="8">
                  <c:v>-6746.6610508599479</c:v>
                </c:pt>
                <c:pt idx="9">
                  <c:v>-11626.750907520884</c:v>
                </c:pt>
                <c:pt idx="10">
                  <c:v>-15926.416570323345</c:v>
                </c:pt>
                <c:pt idx="11">
                  <c:v>-19803.926712893222</c:v>
                </c:pt>
                <c:pt idx="12">
                  <c:v>-23364.802593168111</c:v>
                </c:pt>
                <c:pt idx="13">
                  <c:v>-26682.102394048055</c:v>
                </c:pt>
                <c:pt idx="14">
                  <c:v>-29808.013519405155</c:v>
                </c:pt>
                <c:pt idx="15">
                  <c:v>-32780.808591101239</c:v>
                </c:pt>
                <c:pt idx="16">
                  <c:v>-35713.133847972982</c:v>
                </c:pt>
                <c:pt idx="17">
                  <c:v>-38461.672445151038</c:v>
                </c:pt>
                <c:pt idx="18">
                  <c:v>-41124.96786486487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EE-4916-A505-496AAADFA4AA}"/>
            </c:ext>
          </c:extLst>
        </c:ser>
        <c:ser>
          <c:idx val="9"/>
          <c:order val="4"/>
          <c:tx>
            <c:v>-1.28%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'ID (MX) (30")'!$U$37:$U$55</c:f>
              <c:numCache>
                <c:formatCode>0</c:formatCode>
                <c:ptCount val="19"/>
                <c:pt idx="0">
                  <c:v>0</c:v>
                </c:pt>
                <c:pt idx="1">
                  <c:v>-10225.223750000003</c:v>
                </c:pt>
                <c:pt idx="2">
                  <c:v>-20095.678750000003</c:v>
                </c:pt>
                <c:pt idx="3">
                  <c:v>-29611.365000000005</c:v>
                </c:pt>
                <c:pt idx="4">
                  <c:v>-46632.747268750012</c:v>
                </c:pt>
                <c:pt idx="5">
                  <c:v>-62326.698960000009</c:v>
                </c:pt>
                <c:pt idx="6">
                  <c:v>-75369.947587500021</c:v>
                </c:pt>
                <c:pt idx="7">
                  <c:v>-86746.465000000011</c:v>
                </c:pt>
                <c:pt idx="8">
                  <c:v>-97250.193718437513</c:v>
                </c:pt>
                <c:pt idx="9">
                  <c:v>-107290.96443583338</c:v>
                </c:pt>
                <c:pt idx="10">
                  <c:v>-116446.22700975001</c:v>
                </c:pt>
                <c:pt idx="11">
                  <c:v>-124860.72854750002</c:v>
                </c:pt>
                <c:pt idx="12">
                  <c:v>-132630.96712062502</c:v>
                </c:pt>
                <c:pt idx="13">
                  <c:v>-139823.74908634616</c:v>
                </c:pt>
                <c:pt idx="14">
                  <c:v>-146486.79327125</c:v>
                </c:pt>
                <c:pt idx="15">
                  <c:v>-152655.09348149999</c:v>
                </c:pt>
                <c:pt idx="16">
                  <c:v>-158354.89507171881</c:v>
                </c:pt>
                <c:pt idx="17">
                  <c:v>-163606.26801897062</c:v>
                </c:pt>
                <c:pt idx="18">
                  <c:v>-168424.82230541672</c:v>
                </c:pt>
              </c:numCache>
            </c:numRef>
          </c:xVal>
          <c:yVal>
            <c:numRef>
              <c:f>'ID (MX) (30")'!$T$37:$T$55</c:f>
              <c:numCache>
                <c:formatCode>0</c:formatCode>
                <c:ptCount val="19"/>
                <c:pt idx="0">
                  <c:v>19602</c:v>
                </c:pt>
                <c:pt idx="1">
                  <c:v>16763.849999999999</c:v>
                </c:pt>
                <c:pt idx="2">
                  <c:v>13925.699999999999</c:v>
                </c:pt>
                <c:pt idx="3">
                  <c:v>11087.55</c:v>
                </c:pt>
                <c:pt idx="4">
                  <c:v>4994.9234999999935</c:v>
                </c:pt>
                <c:pt idx="5">
                  <c:v>-694.99079999999958</c:v>
                </c:pt>
                <c:pt idx="6">
                  <c:v>-5434.3170000000027</c:v>
                </c:pt>
                <c:pt idx="7">
                  <c:v>-9630.4499999999989</c:v>
                </c:pt>
                <c:pt idx="8">
                  <c:v>-13901.989443750008</c:v>
                </c:pt>
                <c:pt idx="9">
                  <c:v>-18549.664950000006</c:v>
                </c:pt>
                <c:pt idx="10">
                  <c:v>-22835.435355000001</c:v>
                </c:pt>
                <c:pt idx="11">
                  <c:v>-26858.002050000003</c:v>
                </c:pt>
                <c:pt idx="12">
                  <c:v>-30683.165962500003</c:v>
                </c:pt>
                <c:pt idx="13">
                  <c:v>-34356.481580769236</c:v>
                </c:pt>
                <c:pt idx="14">
                  <c:v>-37910.487824999997</c:v>
                </c:pt>
                <c:pt idx="15">
                  <c:v>-41369.046569999991</c:v>
                </c:pt>
                <c:pt idx="16">
                  <c:v>-44750.054221875012</c:v>
                </c:pt>
                <c:pt idx="17">
                  <c:v>-48067.196267647058</c:v>
                </c:pt>
                <c:pt idx="18">
                  <c:v>-51331.116975000012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EE-4916-A505-496AAADFA4AA}"/>
            </c:ext>
          </c:extLst>
        </c:ser>
        <c:ser>
          <c:idx val="3"/>
          <c:order val="5"/>
          <c:tx>
            <c:strRef>
              <c:f>'ID (MX) (30")'!$U$11</c:f>
              <c:strCache>
                <c:ptCount val="1"/>
                <c:pt idx="0">
                  <c:v>1.2D + 0.2SDS + 0.5L + 1.0 Ex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1769582150174185E-3"/>
                  <c:y val="1.950450120117788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7-4A00-864E-57DB3A8F75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(MX) (30")'!$W$11</c:f>
              <c:numCache>
                <c:formatCode>0.0</c:formatCode>
                <c:ptCount val="1"/>
                <c:pt idx="0">
                  <c:v>111468.83505878403</c:v>
                </c:pt>
              </c:numCache>
            </c:numRef>
          </c:xVal>
          <c:yVal>
            <c:numRef>
              <c:f>'ID (MX) (30")'!$V$11</c:f>
              <c:numCache>
                <c:formatCode>General</c:formatCode>
                <c:ptCount val="1"/>
                <c:pt idx="0">
                  <c:v>1522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7-4A00-864E-57DB3A8F75FE}"/>
            </c:ext>
          </c:extLst>
        </c:ser>
        <c:ser>
          <c:idx val="4"/>
          <c:order val="6"/>
          <c:tx>
            <c:strRef>
              <c:f>'ID (MX) (30")'!$U$12</c:f>
              <c:strCache>
                <c:ptCount val="1"/>
                <c:pt idx="0">
                  <c:v>1.2D + 0.2SDS + 0.5L + 1.0 Ex 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389308073038321"/>
                  <c:y val="-1.70664385510306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C7-4A00-864E-57DB3A8F75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'ID (MX) (30")'!$W$12</c:f>
              <c:numCache>
                <c:formatCode>0</c:formatCode>
                <c:ptCount val="1"/>
                <c:pt idx="0">
                  <c:v>-108564.15532551953</c:v>
                </c:pt>
              </c:numCache>
            </c:numRef>
          </c:xVal>
          <c:yVal>
            <c:numRef>
              <c:f>'ID (MX) (30")'!$V$12</c:f>
              <c:numCache>
                <c:formatCode>General</c:formatCode>
                <c:ptCount val="1"/>
                <c:pt idx="0">
                  <c:v>-19139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7-4A00-864E-57DB3A8F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78095"/>
        <c:axId val="10474349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P-M INTERACTION CURVES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'ID (MX) (30")'!$U$37:$U$434</c15:sqref>
                        </c15:formulaRef>
                      </c:ext>
                    </c:extLst>
                    <c:numCache>
                      <c:formatCode>0</c:formatCode>
                      <c:ptCount val="398"/>
                      <c:pt idx="0">
                        <c:v>0</c:v>
                      </c:pt>
                      <c:pt idx="1">
                        <c:v>-10225.223750000003</c:v>
                      </c:pt>
                      <c:pt idx="2">
                        <c:v>-20095.678750000003</c:v>
                      </c:pt>
                      <c:pt idx="3">
                        <c:v>-29611.365000000005</c:v>
                      </c:pt>
                      <c:pt idx="4">
                        <c:v>-46632.747268750012</c:v>
                      </c:pt>
                      <c:pt idx="5">
                        <c:v>-62326.698960000009</c:v>
                      </c:pt>
                      <c:pt idx="6">
                        <c:v>-75369.947587500021</c:v>
                      </c:pt>
                      <c:pt idx="7">
                        <c:v>-86746.465000000011</c:v>
                      </c:pt>
                      <c:pt idx="8">
                        <c:v>-97250.193718437513</c:v>
                      </c:pt>
                      <c:pt idx="9">
                        <c:v>-107290.96443583338</c:v>
                      </c:pt>
                      <c:pt idx="10">
                        <c:v>-116446.22700975001</c:v>
                      </c:pt>
                      <c:pt idx="11">
                        <c:v>-124860.72854750002</c:v>
                      </c:pt>
                      <c:pt idx="12">
                        <c:v>-132630.96712062502</c:v>
                      </c:pt>
                      <c:pt idx="13">
                        <c:v>-139823.74908634616</c:v>
                      </c:pt>
                      <c:pt idx="14">
                        <c:v>-146486.79327125</c:v>
                      </c:pt>
                      <c:pt idx="15">
                        <c:v>-152655.09348149999</c:v>
                      </c:pt>
                      <c:pt idx="16">
                        <c:v>-158354.89507171881</c:v>
                      </c:pt>
                      <c:pt idx="17">
                        <c:v>-163606.26801897062</c:v>
                      </c:pt>
                      <c:pt idx="18">
                        <c:v>-168424.82230541672</c:v>
                      </c:pt>
                      <c:pt idx="23">
                        <c:v>3.2037145475139064</c:v>
                      </c:pt>
                      <c:pt idx="24">
                        <c:v>15560.477187500001</c:v>
                      </c:pt>
                      <c:pt idx="25">
                        <c:v>30176.206336001269</c:v>
                      </c:pt>
                      <c:pt idx="26">
                        <c:v>59131.789405814146</c:v>
                      </c:pt>
                      <c:pt idx="27">
                        <c:v>80420.99424217359</c:v>
                      </c:pt>
                      <c:pt idx="28">
                        <c:v>97399.288229323356</c:v>
                      </c:pt>
                      <c:pt idx="29">
                        <c:v>111765.20320846536</c:v>
                      </c:pt>
                      <c:pt idx="30">
                        <c:v>123466.75868787519</c:v>
                      </c:pt>
                      <c:pt idx="31">
                        <c:v>130517.54901263617</c:v>
                      </c:pt>
                      <c:pt idx="32">
                        <c:v>135210.19604512848</c:v>
                      </c:pt>
                      <c:pt idx="33">
                        <c:v>139696.80777894231</c:v>
                      </c:pt>
                      <c:pt idx="34">
                        <c:v>143784.68916221149</c:v>
                      </c:pt>
                      <c:pt idx="35">
                        <c:v>147345.3661020821</c:v>
                      </c:pt>
                      <c:pt idx="36">
                        <c:v>150289.8889029469</c:v>
                      </c:pt>
                      <c:pt idx="37">
                        <c:v>152554.71843058881</c:v>
                      </c:pt>
                      <c:pt idx="38">
                        <c:v>154093.25705652082</c:v>
                      </c:pt>
                      <c:pt idx="39">
                        <c:v>154881.83840449748</c:v>
                      </c:pt>
                      <c:pt idx="40">
                        <c:v>154846.25921526231</c:v>
                      </c:pt>
                      <c:pt idx="41">
                        <c:v>153998.09080399774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'ID (MX) (30")'!$T$37:$T$434</c15:sqref>
                        </c15:formulaRef>
                      </c:ext>
                    </c:extLst>
                    <c:numCache>
                      <c:formatCode>0</c:formatCode>
                      <c:ptCount val="398"/>
                      <c:pt idx="0">
                        <c:v>19602</c:v>
                      </c:pt>
                      <c:pt idx="1">
                        <c:v>16763.849999999999</c:v>
                      </c:pt>
                      <c:pt idx="2">
                        <c:v>13925.699999999999</c:v>
                      </c:pt>
                      <c:pt idx="3">
                        <c:v>11087.55</c:v>
                      </c:pt>
                      <c:pt idx="4">
                        <c:v>4994.9234999999935</c:v>
                      </c:pt>
                      <c:pt idx="5">
                        <c:v>-694.99079999999958</c:v>
                      </c:pt>
                      <c:pt idx="6">
                        <c:v>-5434.3170000000027</c:v>
                      </c:pt>
                      <c:pt idx="7">
                        <c:v>-9630.4499999999989</c:v>
                      </c:pt>
                      <c:pt idx="8">
                        <c:v>-13901.989443750008</c:v>
                      </c:pt>
                      <c:pt idx="9">
                        <c:v>-18549.664950000006</c:v>
                      </c:pt>
                      <c:pt idx="10">
                        <c:v>-22835.435355000001</c:v>
                      </c:pt>
                      <c:pt idx="11">
                        <c:v>-26858.002050000003</c:v>
                      </c:pt>
                      <c:pt idx="12">
                        <c:v>-30683.165962500003</c:v>
                      </c:pt>
                      <c:pt idx="13">
                        <c:v>-34356.481580769236</c:v>
                      </c:pt>
                      <c:pt idx="14">
                        <c:v>-37910.487824999997</c:v>
                      </c:pt>
                      <c:pt idx="15">
                        <c:v>-41369.046569999991</c:v>
                      </c:pt>
                      <c:pt idx="16">
                        <c:v>-44750.054221875012</c:v>
                      </c:pt>
                      <c:pt idx="17">
                        <c:v>-48067.196267647058</c:v>
                      </c:pt>
                      <c:pt idx="18">
                        <c:v>-51331.116975000012</c:v>
                      </c:pt>
                      <c:pt idx="23">
                        <c:v>19601.603729999999</c:v>
                      </c:pt>
                      <c:pt idx="24">
                        <c:v>17620.650000000001</c:v>
                      </c:pt>
                      <c:pt idx="25">
                        <c:v>15643.262699999999</c:v>
                      </c:pt>
                      <c:pt idx="26">
                        <c:v>10702.613701591315</c:v>
                      </c:pt>
                      <c:pt idx="27">
                        <c:v>7074.0638119598298</c:v>
                      </c:pt>
                      <c:pt idx="28">
                        <c:v>4105.7143487915819</c:v>
                      </c:pt>
                      <c:pt idx="29">
                        <c:v>1467.5753159545202</c:v>
                      </c:pt>
                      <c:pt idx="30">
                        <c:v>-2053.8627561719713</c:v>
                      </c:pt>
                      <c:pt idx="31">
                        <c:v>-6746.6610508599479</c:v>
                      </c:pt>
                      <c:pt idx="32">
                        <c:v>-11626.750907520884</c:v>
                      </c:pt>
                      <c:pt idx="33">
                        <c:v>-15926.416570323345</c:v>
                      </c:pt>
                      <c:pt idx="34">
                        <c:v>-19803.926712893222</c:v>
                      </c:pt>
                      <c:pt idx="35">
                        <c:v>-23364.802593168111</c:v>
                      </c:pt>
                      <c:pt idx="36">
                        <c:v>-26682.102394048055</c:v>
                      </c:pt>
                      <c:pt idx="37">
                        <c:v>-29808.013519405155</c:v>
                      </c:pt>
                      <c:pt idx="38">
                        <c:v>-32780.808591101239</c:v>
                      </c:pt>
                      <c:pt idx="39">
                        <c:v>-35713.133847972982</c:v>
                      </c:pt>
                      <c:pt idx="40">
                        <c:v>-38461.672445151038</c:v>
                      </c:pt>
                      <c:pt idx="41">
                        <c:v>-41124.96786486487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2EE-4916-A505-496AAADFA4AA}"/>
                  </c:ext>
                </c:extLst>
              </c15:ser>
            </c15:filteredScatterSeries>
          </c:ext>
        </c:extLst>
      </c:scatterChart>
      <c:valAx>
        <c:axId val="1056978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Moment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Mn or Demand Mu (kip-ft)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3807335859651177"/>
              <c:y val="6.16962451245865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34975"/>
        <c:crosses val="autoZero"/>
        <c:crossBetween val="midCat"/>
      </c:valAx>
      <c:valAx>
        <c:axId val="104743497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 baseline="0">
                    <a:effectLst/>
                  </a:rPr>
                  <a:t>Design Axial Load </a:t>
                </a:r>
                <a:r>
                  <a:rPr lang="el-GR" sz="1800" b="0" i="0" baseline="0">
                    <a:effectLst/>
                  </a:rPr>
                  <a:t>φ</a:t>
                </a:r>
                <a:r>
                  <a:rPr lang="en-US" sz="1800" b="0" i="1" baseline="0">
                    <a:effectLst/>
                  </a:rPr>
                  <a:t>Pn or Demand Pu (kip)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/>
                  <a:t>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7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2</xdr:row>
      <xdr:rowOff>42864</xdr:rowOff>
    </xdr:from>
    <xdr:to>
      <xdr:col>20</xdr:col>
      <xdr:colOff>212912</xdr:colOff>
      <xdr:row>30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3FF44-A848-441A-AEC1-0D6273C59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53671</xdr:colOff>
      <xdr:row>12</xdr:row>
      <xdr:rowOff>53008</xdr:rowOff>
    </xdr:from>
    <xdr:to>
      <xdr:col>30</xdr:col>
      <xdr:colOff>91080</xdr:colOff>
      <xdr:row>21</xdr:row>
      <xdr:rowOff>489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CECC7-B140-420D-8959-1C1A4C2EC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82091" y="2247568"/>
          <a:ext cx="5523809" cy="1593401"/>
        </a:xfrm>
        <a:prstGeom prst="rect">
          <a:avLst/>
        </a:prstGeom>
      </xdr:spPr>
    </xdr:pic>
    <xdr:clientData/>
  </xdr:twoCellAnchor>
  <xdr:twoCellAnchor editAs="oneCell">
    <xdr:from>
      <xdr:col>21</xdr:col>
      <xdr:colOff>564776</xdr:colOff>
      <xdr:row>230</xdr:row>
      <xdr:rowOff>35859</xdr:rowOff>
    </xdr:from>
    <xdr:to>
      <xdr:col>30</xdr:col>
      <xdr:colOff>602185</xdr:colOff>
      <xdr:row>238</xdr:row>
      <xdr:rowOff>161140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2577E5-9E0B-4154-93B7-1EB2ACF4D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5319" y="42599002"/>
          <a:ext cx="5523809" cy="1605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534371</xdr:colOff>
      <xdr:row>57</xdr:row>
      <xdr:rowOff>171106</xdr:rowOff>
    </xdr:from>
    <xdr:to>
      <xdr:col>91</xdr:col>
      <xdr:colOff>91740</xdr:colOff>
      <xdr:row>86</xdr:row>
      <xdr:rowOff>190155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F061E-8A38-450A-AD1E-13022ADAB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220755</xdr:colOff>
      <xdr:row>0</xdr:row>
      <xdr:rowOff>66275</xdr:rowOff>
    </xdr:from>
    <xdr:to>
      <xdr:col>23</xdr:col>
      <xdr:colOff>563336</xdr:colOff>
      <xdr:row>32</xdr:row>
      <xdr:rowOff>111098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3AED1-3F5C-4EA7-A4D4-D1E81F13C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221673</xdr:colOff>
      <xdr:row>4</xdr:row>
      <xdr:rowOff>41564</xdr:rowOff>
    </xdr:from>
    <xdr:to>
      <xdr:col>34</xdr:col>
      <xdr:colOff>591591</xdr:colOff>
      <xdr:row>13</xdr:row>
      <xdr:rowOff>30106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92883D-E931-4FAE-A5B3-4311BCA1B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47673" y="762000"/>
          <a:ext cx="5523809" cy="1609524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0.35861</cdr:x>
      <cdr:y>0.32031</cdr:y>
    </cdr:from>
    <cdr:to>
      <cdr:x>0.41628</cdr:x>
      <cdr:y>0.36302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77863" y="1749491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0.4%</a:t>
          </a:r>
        </a:p>
      </cdr:txBody>
    </cdr:sp>
  </cdr:relSizeAnchor>
  <cdr:relSizeAnchor xmlns:cdr="http://schemas.openxmlformats.org/drawingml/2006/chartDrawing">
    <cdr:from>
      <cdr:x>0.15223</cdr:x>
      <cdr:y>0.41502</cdr:y>
    </cdr:from>
    <cdr:to>
      <cdr:x>0.20991</cdr:x>
      <cdr:y>0.45773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051897" y="226682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>
              <a:solidFill>
                <a:schemeClr val="accent1">
                  <a:lumMod val="75000"/>
                </a:schemeClr>
              </a:solidFill>
            </a:rPr>
            <a:t>ρ</a:t>
          </a:r>
          <a:r>
            <a:rPr lang="en-US" sz="1100">
              <a:solidFill>
                <a:schemeClr val="accent1">
                  <a:lumMod val="75000"/>
                </a:schemeClr>
              </a:solidFill>
            </a:rPr>
            <a:t>l = 1.4%</a:t>
          </a:r>
        </a:p>
      </cdr:txBody>
    </cdr:sp>
  </cdr:relSizeAnchor>
  <cdr:relSizeAnchor xmlns:cdr="http://schemas.openxmlformats.org/drawingml/2006/chartDrawing">
    <cdr:from>
      <cdr:x>0.26336</cdr:x>
      <cdr:y>0.16767</cdr:y>
    </cdr:from>
    <cdr:to>
      <cdr:x>0.32103</cdr:x>
      <cdr:y>0.21038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19728" y="915825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c/lw1</a:t>
          </a:r>
          <a:r>
            <a:rPr lang="en-US" sz="1100" b="1" baseline="0">
              <a:solidFill>
                <a:schemeClr val="bg1">
                  <a:lumMod val="50000"/>
                </a:schemeClr>
              </a:solidFill>
            </a:rPr>
            <a:t> </a:t>
          </a:r>
          <a:r>
            <a:rPr lang="en-US" sz="1100" b="1">
              <a:solidFill>
                <a:schemeClr val="bg1">
                  <a:lumMod val="50000"/>
                </a:schemeClr>
              </a:solidFill>
            </a:rPr>
            <a:t>= 0.08</a:t>
          </a:r>
        </a:p>
      </cdr:txBody>
    </cdr:sp>
  </cdr:relSizeAnchor>
  <cdr:relSizeAnchor xmlns:cdr="http://schemas.openxmlformats.org/drawingml/2006/chartDrawing">
    <cdr:from>
      <cdr:x>0.39417</cdr:x>
      <cdr:y>0.4168</cdr:y>
    </cdr:from>
    <cdr:to>
      <cdr:x>0.45185</cdr:x>
      <cdr:y>0.45951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23632" y="2276540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0.04</a:t>
          </a:r>
        </a:p>
      </cdr:txBody>
    </cdr:sp>
  </cdr:relSizeAnchor>
  <cdr:relSizeAnchor xmlns:cdr="http://schemas.openxmlformats.org/drawingml/2006/chartDrawing">
    <cdr:from>
      <cdr:x>0.48701</cdr:x>
      <cdr:y>0.87591</cdr:y>
    </cdr:from>
    <cdr:to>
      <cdr:x>0.54468</cdr:x>
      <cdr:y>0.91862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65111" y="4784142"/>
          <a:ext cx="398494" cy="233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>
                  <a:lumMod val="50000"/>
                </a:schemeClr>
              </a:solidFill>
            </a:rPr>
            <a:t>0.0</a:t>
          </a:r>
        </a:p>
      </cdr:txBody>
    </cdr:sp>
  </cdr:relSizeAnchor>
  <cdr:relSizeAnchor xmlns:cdr="http://schemas.openxmlformats.org/drawingml/2006/chartDrawing">
    <cdr:from>
      <cdr:x>0.35017</cdr:x>
      <cdr:y>0.3559</cdr:y>
    </cdr:from>
    <cdr:to>
      <cdr:x>0.36705</cdr:x>
      <cdr:y>0.37191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EE51293-D3D7-472F-9DB5-59C39050E94D}"/>
            </a:ext>
          </a:extLst>
        </cdr:cNvPr>
        <cdr:cNvCxnSpPr/>
      </cdr:nvCxnSpPr>
      <cdr:spPr>
        <a:xfrm xmlns:a="http://schemas.openxmlformats.org/drawingml/2006/main" flipH="1">
          <a:off x="2419545" y="1943878"/>
          <a:ext cx="116632" cy="874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0.22076</cdr:x>
      <cdr:y>0.38971</cdr:y>
    </cdr:from>
    <cdr:to>
      <cdr:x>0.24889</cdr:x>
      <cdr:y>0.41818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14D44FA9-696B-4967-ABCD-3CD0AEB985B5}"/>
            </a:ext>
          </a:extLst>
        </cdr:cNvPr>
        <cdr:cNvCxnSpPr/>
      </cdr:nvCxnSpPr>
      <cdr:spPr>
        <a:xfrm xmlns:a="http://schemas.openxmlformats.org/drawingml/2006/main" flipV="1">
          <a:off x="1525362" y="2128546"/>
          <a:ext cx="194387" cy="1555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2</xdr:row>
      <xdr:rowOff>42864</xdr:rowOff>
    </xdr:from>
    <xdr:to>
      <xdr:col>20</xdr:col>
      <xdr:colOff>212912</xdr:colOff>
      <xdr:row>31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72F40-D6B4-48AA-805C-89A9BFB0A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564776</xdr:colOff>
      <xdr:row>231</xdr:row>
      <xdr:rowOff>35859</xdr:rowOff>
    </xdr:from>
    <xdr:to>
      <xdr:col>30</xdr:col>
      <xdr:colOff>602185</xdr:colOff>
      <xdr:row>239</xdr:row>
      <xdr:rowOff>161140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8FE3BC-9CDD-4F2F-A710-BA74786D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3196" y="42098259"/>
          <a:ext cx="5523809" cy="1588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rrissupplysolutions.com/10-rebar-10-reinforcement-steel.html" TargetMode="External"/><Relationship Id="rId3" Type="http://schemas.openxmlformats.org/officeDocument/2006/relationships/hyperlink" Target="https://www.harrissupplysolutions.com/5-rebar.html" TargetMode="External"/><Relationship Id="rId7" Type="http://schemas.openxmlformats.org/officeDocument/2006/relationships/hyperlink" Target="https://www.harrissupplysolutions.com/9-rebar.html" TargetMode="External"/><Relationship Id="rId2" Type="http://schemas.openxmlformats.org/officeDocument/2006/relationships/hyperlink" Target="https://www.harrissupplysolutions.com/4-rebar.html" TargetMode="External"/><Relationship Id="rId1" Type="http://schemas.openxmlformats.org/officeDocument/2006/relationships/hyperlink" Target="https://www.harrissupplysolutions.com/3-rebar.html" TargetMode="External"/><Relationship Id="rId6" Type="http://schemas.openxmlformats.org/officeDocument/2006/relationships/hyperlink" Target="https://www.harrissupplysolutions.com/8-rebar.html" TargetMode="External"/><Relationship Id="rId11" Type="http://schemas.openxmlformats.org/officeDocument/2006/relationships/hyperlink" Target="https://www.harrissupplysolutions.com/18-rebar-18-reinforcing-bar.html" TargetMode="External"/><Relationship Id="rId5" Type="http://schemas.openxmlformats.org/officeDocument/2006/relationships/hyperlink" Target="https://www.harrissupplysolutions.com/7-rebar.html" TargetMode="External"/><Relationship Id="rId10" Type="http://schemas.openxmlformats.org/officeDocument/2006/relationships/hyperlink" Target="https://www.harrissupplysolutions.com/14-rebar-14-reinforcing-bar.html" TargetMode="External"/><Relationship Id="rId4" Type="http://schemas.openxmlformats.org/officeDocument/2006/relationships/hyperlink" Target="https://www.harrissupplysolutions.com/6-rebar.html" TargetMode="External"/><Relationship Id="rId9" Type="http://schemas.openxmlformats.org/officeDocument/2006/relationships/hyperlink" Target="https://www.harrissupplysolutions.com/11-rebar-11-reinforcement-ste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X433"/>
  <sheetViews>
    <sheetView zoomScale="85" zoomScaleNormal="85" zoomScaleSheetLayoutView="55" workbookViewId="0">
      <selection activeCell="Y29" sqref="Y29"/>
    </sheetView>
  </sheetViews>
  <sheetFormatPr defaultColWidth="8.90625" defaultRowHeight="14.5"/>
  <cols>
    <col min="1" max="1" width="19.54296875" style="9" customWidth="1"/>
    <col min="2" max="2" width="10.08984375" style="9" customWidth="1"/>
    <col min="3" max="3" width="11.453125" style="9" bestFit="1" customWidth="1"/>
    <col min="4" max="4" width="8.90625" style="9"/>
    <col min="5" max="5" width="10" style="9" bestFit="1" customWidth="1"/>
    <col min="6" max="6" width="9" style="9" bestFit="1" customWidth="1"/>
    <col min="7" max="8" width="9.36328125" style="9" bestFit="1" customWidth="1"/>
    <col min="9" max="20" width="9" style="9" bestFit="1" customWidth="1"/>
    <col min="21" max="16384" width="8.90625" style="9"/>
  </cols>
  <sheetData>
    <row r="6" spans="1:23">
      <c r="B6" s="9" t="s">
        <v>0</v>
      </c>
      <c r="C6" s="9" t="s">
        <v>13</v>
      </c>
      <c r="D6" s="10">
        <v>7</v>
      </c>
    </row>
    <row r="7" spans="1:23">
      <c r="B7" s="9" t="s">
        <v>1</v>
      </c>
      <c r="C7" s="9" t="s">
        <v>13</v>
      </c>
      <c r="D7" s="10">
        <v>80</v>
      </c>
      <c r="V7" s="9" t="s">
        <v>63</v>
      </c>
      <c r="W7" s="9" t="s">
        <v>64</v>
      </c>
    </row>
    <row r="8" spans="1:23">
      <c r="B8" s="9" t="s">
        <v>40</v>
      </c>
      <c r="C8" s="9" t="s">
        <v>13</v>
      </c>
      <c r="D8" s="10">
        <v>29000</v>
      </c>
      <c r="V8" s="9">
        <f>'BE Calcs'!C4</f>
        <v>6581</v>
      </c>
      <c r="W8" s="9">
        <f>'BE Calcs'!D4</f>
        <v>39175</v>
      </c>
    </row>
    <row r="9" spans="1:23">
      <c r="D9" s="10"/>
      <c r="V9" s="9">
        <f>'BE Calcs'!C5</f>
        <v>-13858</v>
      </c>
      <c r="W9" s="9">
        <f>'BE Calcs'!D5</f>
        <v>-38835</v>
      </c>
    </row>
    <row r="10" spans="1:23">
      <c r="B10" s="9" t="s">
        <v>2</v>
      </c>
      <c r="C10" s="9" t="s">
        <v>14</v>
      </c>
      <c r="D10" s="10">
        <v>141</v>
      </c>
      <c r="V10" s="9">
        <f>'BE Calcs'!C6</f>
        <v>1522</v>
      </c>
      <c r="W10" s="9">
        <f>'BE Calcs'!D6</f>
        <v>39418</v>
      </c>
    </row>
    <row r="11" spans="1:23">
      <c r="B11" s="9" t="s">
        <v>3</v>
      </c>
      <c r="C11" s="9" t="s">
        <v>14</v>
      </c>
      <c r="D11" s="10">
        <v>318</v>
      </c>
      <c r="V11" s="9">
        <f>'BE Calcs'!C7</f>
        <v>-19139</v>
      </c>
      <c r="W11" s="9">
        <f>'BE Calcs'!D7</f>
        <v>-39418</v>
      </c>
    </row>
    <row r="12" spans="1:23">
      <c r="B12" s="9" t="s">
        <v>4</v>
      </c>
      <c r="C12" s="9" t="s">
        <v>14</v>
      </c>
      <c r="D12" s="10">
        <v>30</v>
      </c>
    </row>
    <row r="13" spans="1:23">
      <c r="B13" s="9" t="s">
        <v>5</v>
      </c>
      <c r="C13" s="9" t="s">
        <v>14</v>
      </c>
      <c r="D13" s="10">
        <v>30</v>
      </c>
    </row>
    <row r="14" spans="1:23">
      <c r="A14" s="38">
        <f>1.4/100*D10*D12</f>
        <v>59.219999999999992</v>
      </c>
      <c r="D14" s="10"/>
    </row>
    <row r="15" spans="1:23">
      <c r="B15" s="11" t="s">
        <v>6</v>
      </c>
      <c r="D15" s="12">
        <f>MAX(0.65,MIN(0.85,0.85-0.05*(D6-4)))</f>
        <v>0.7</v>
      </c>
    </row>
    <row r="16" spans="1:23">
      <c r="D16" s="10"/>
    </row>
    <row r="17" spans="2:11">
      <c r="B17" s="9" t="s">
        <v>12</v>
      </c>
      <c r="C17" s="9" t="s">
        <v>15</v>
      </c>
      <c r="D17" s="10">
        <f>2*D10*D12+(D11-2*D12)*D13</f>
        <v>16200</v>
      </c>
    </row>
    <row r="18" spans="2:11">
      <c r="B18" s="9" t="s">
        <v>11</v>
      </c>
      <c r="C18" s="9" t="s">
        <v>14</v>
      </c>
      <c r="D18" s="12">
        <f>(D10^2*D12+(D11-2*D12)*D13^2/2)/D17</f>
        <v>43.983333333333334</v>
      </c>
    </row>
    <row r="19" spans="2:11">
      <c r="D19" s="10"/>
    </row>
    <row r="20" spans="2:11">
      <c r="B20" s="9" t="s">
        <v>16</v>
      </c>
      <c r="C20" s="9" t="s">
        <v>14</v>
      </c>
      <c r="D20" s="10">
        <f>D13/2</f>
        <v>15</v>
      </c>
    </row>
    <row r="21" spans="2:11">
      <c r="B21" s="9" t="s">
        <v>17</v>
      </c>
      <c r="C21" s="9" t="s">
        <v>14</v>
      </c>
      <c r="D21" s="10">
        <f>D10/4</f>
        <v>35.25</v>
      </c>
    </row>
    <row r="22" spans="2:11">
      <c r="B22" s="9" t="s">
        <v>18</v>
      </c>
      <c r="C22" s="9" t="s">
        <v>14</v>
      </c>
      <c r="D22" s="10">
        <f>3*D10/4</f>
        <v>105.75</v>
      </c>
    </row>
    <row r="23" spans="2:11">
      <c r="B23" s="9" t="s">
        <v>45</v>
      </c>
      <c r="C23" s="9" t="s">
        <v>14</v>
      </c>
      <c r="D23" s="12">
        <f>(D26*D20+2*(D27*D21+D28*D22))/(D26+2*(D27+D28))</f>
        <v>43.983333333333334</v>
      </c>
      <c r="H23" s="16"/>
      <c r="K23" s="17"/>
    </row>
    <row r="24" spans="2:11">
      <c r="D24" s="10"/>
    </row>
    <row r="25" spans="2:11">
      <c r="B25" s="11" t="s">
        <v>7</v>
      </c>
      <c r="D25" s="14">
        <v>4.0000000000000001E-3</v>
      </c>
    </row>
    <row r="26" spans="2:11">
      <c r="B26" s="9" t="s">
        <v>8</v>
      </c>
      <c r="C26" s="9" t="s">
        <v>15</v>
      </c>
      <c r="D26" s="12">
        <f>D25*($D$11-2*$D$12)*$D$13</f>
        <v>30.96</v>
      </c>
    </row>
    <row r="27" spans="2:11">
      <c r="B27" s="9" t="s">
        <v>9</v>
      </c>
      <c r="C27" s="9" t="s">
        <v>15</v>
      </c>
      <c r="D27" s="12">
        <f>D25*$D$10/2*$D$12</f>
        <v>8.4600000000000009</v>
      </c>
    </row>
    <row r="28" spans="2:11">
      <c r="B28" s="9" t="s">
        <v>10</v>
      </c>
      <c r="C28" s="9" t="s">
        <v>15</v>
      </c>
      <c r="D28" s="12">
        <f>D27</f>
        <v>8.4600000000000009</v>
      </c>
    </row>
    <row r="29" spans="2:11">
      <c r="D29" s="10"/>
    </row>
    <row r="30" spans="2:11">
      <c r="B30" s="15" t="s">
        <v>46</v>
      </c>
      <c r="C30" s="9" t="s">
        <v>15</v>
      </c>
      <c r="D30" s="13">
        <f>D26+2*(D27+D28)</f>
        <v>64.800000000000011</v>
      </c>
    </row>
    <row r="33" spans="1:21">
      <c r="B33" s="18" t="s">
        <v>38</v>
      </c>
      <c r="C33" s="18" t="s">
        <v>37</v>
      </c>
      <c r="D33" s="18" t="s">
        <v>47</v>
      </c>
      <c r="E33" s="19" t="s">
        <v>19</v>
      </c>
      <c r="F33" s="19" t="s">
        <v>20</v>
      </c>
      <c r="G33" s="19" t="s">
        <v>21</v>
      </c>
      <c r="H33" s="19" t="s">
        <v>22</v>
      </c>
      <c r="I33" s="19" t="s">
        <v>23</v>
      </c>
      <c r="J33" s="19" t="s">
        <v>24</v>
      </c>
      <c r="K33" s="19" t="s">
        <v>25</v>
      </c>
      <c r="L33" s="19" t="s">
        <v>26</v>
      </c>
      <c r="M33" s="19" t="s">
        <v>27</v>
      </c>
      <c r="N33" s="19" t="s">
        <v>28</v>
      </c>
      <c r="O33" s="19" t="s">
        <v>29</v>
      </c>
      <c r="P33" s="19" t="s">
        <v>30</v>
      </c>
      <c r="Q33" s="19" t="s">
        <v>31</v>
      </c>
      <c r="R33" s="19" t="s">
        <v>32</v>
      </c>
      <c r="S33" s="19" t="s">
        <v>33</v>
      </c>
      <c r="T33" s="19" t="s">
        <v>34</v>
      </c>
      <c r="U33" s="19" t="s">
        <v>35</v>
      </c>
    </row>
    <row r="34" spans="1:21">
      <c r="B34" s="20"/>
      <c r="C34" s="21" t="s">
        <v>14</v>
      </c>
      <c r="D34" s="21"/>
      <c r="E34" s="21" t="s">
        <v>39</v>
      </c>
      <c r="F34" s="20"/>
      <c r="G34" s="20"/>
      <c r="H34" s="20"/>
      <c r="I34" s="20"/>
      <c r="J34" s="21" t="s">
        <v>13</v>
      </c>
      <c r="K34" s="21" t="s">
        <v>13</v>
      </c>
      <c r="L34" s="21" t="s">
        <v>13</v>
      </c>
      <c r="M34" s="21" t="s">
        <v>41</v>
      </c>
      <c r="N34" s="21" t="s">
        <v>41</v>
      </c>
      <c r="O34" s="21" t="s">
        <v>41</v>
      </c>
      <c r="P34" s="21" t="s">
        <v>41</v>
      </c>
      <c r="Q34" s="21" t="s">
        <v>41</v>
      </c>
      <c r="R34" s="21" t="s">
        <v>42</v>
      </c>
      <c r="S34" s="21"/>
      <c r="T34" s="21" t="s">
        <v>41</v>
      </c>
      <c r="U34" s="21" t="s">
        <v>42</v>
      </c>
    </row>
    <row r="35" spans="1:21">
      <c r="A35" s="15" t="s">
        <v>36</v>
      </c>
      <c r="B35" s="22"/>
      <c r="C35" s="23"/>
      <c r="D35" s="23"/>
      <c r="E35" s="24"/>
      <c r="F35" s="17"/>
      <c r="G35" s="25"/>
      <c r="H35" s="25"/>
      <c r="I35" s="25"/>
      <c r="J35" s="26"/>
      <c r="K35" s="26"/>
      <c r="L35" s="26"/>
      <c r="M35" s="27"/>
      <c r="N35" s="27"/>
      <c r="O35" s="27"/>
      <c r="P35" s="27"/>
      <c r="Q35" s="27"/>
      <c r="R35" s="27"/>
      <c r="S35" s="16"/>
      <c r="T35" s="27"/>
      <c r="U35" s="27"/>
    </row>
    <row r="36" spans="1:21">
      <c r="B36" s="22">
        <v>1.0000000000000001E-5</v>
      </c>
      <c r="C36" s="28">
        <f t="shared" ref="C36:C54" si="0">B36/$D$15*$D$13</f>
        <v>4.285714285714286E-4</v>
      </c>
      <c r="D36" s="29">
        <f>C36/$D$10</f>
        <v>3.0395136778115506E-6</v>
      </c>
      <c r="E36" s="25">
        <f t="shared" ref="E36:E54" si="1">-0.003/C36</f>
        <v>-7</v>
      </c>
      <c r="F36" s="17">
        <f t="shared" ref="F36:F54" si="2">E36*(C36-$D$10)</f>
        <v>986.99700000000007</v>
      </c>
      <c r="G36" s="25">
        <f t="shared" ref="G36:G54" si="3">E36*(C36-$D$20)</f>
        <v>104.997</v>
      </c>
      <c r="H36" s="25">
        <f t="shared" ref="H36:H54" si="4">E36*(C36-$D$21)</f>
        <v>246.74700000000001</v>
      </c>
      <c r="I36" s="25">
        <f t="shared" ref="I36:I54" si="5">E36*(C36-$D$22)</f>
        <v>740.24699999999996</v>
      </c>
      <c r="J36" s="26">
        <f>SIGN(G36)*MIN($D$8*ABS(G36),$D$7)</f>
        <v>80</v>
      </c>
      <c r="K36" s="26">
        <f t="shared" ref="K36:K54" si="6">SIGN(H36)*MIN($D$8*ABS(H36),$D$7)</f>
        <v>80</v>
      </c>
      <c r="L36" s="26">
        <f t="shared" ref="L36:L54" si="7">SIGN(I36)*MIN($D$8*ABS(I36),$D$7)</f>
        <v>80</v>
      </c>
      <c r="M36" s="27">
        <f>$D$26*J36</f>
        <v>2476.8000000000002</v>
      </c>
      <c r="N36" s="27">
        <f>$D$27*K36*2</f>
        <v>1353.6000000000001</v>
      </c>
      <c r="O36" s="27">
        <f>$D$28*L36*2</f>
        <v>1353.6000000000001</v>
      </c>
      <c r="P36" s="27">
        <v>0</v>
      </c>
      <c r="Q36" s="27">
        <f>SUM(M36:P36)</f>
        <v>5184.0000000000009</v>
      </c>
      <c r="R36" s="27">
        <f>(P36*($D$18-$D$15*C36/2)+M36*($D$18-$D$20)+N36*($D$18-$D$21)+O36*($D$18-$D$22))/12</f>
        <v>1.2126596023639042E-12</v>
      </c>
      <c r="S36" s="16">
        <f>MAX(0.65,MIN(0.9,0.65+(F36-0.002)*250/3))</f>
        <v>0.9</v>
      </c>
      <c r="T36" s="27">
        <f>S36*Q36</f>
        <v>4665.6000000000013</v>
      </c>
      <c r="U36" s="27">
        <f>S36*R36</f>
        <v>1.0913936421275138E-12</v>
      </c>
    </row>
    <row r="37" spans="1:21">
      <c r="B37" s="22">
        <v>0.05</v>
      </c>
      <c r="C37" s="23">
        <f>B37/$D$15*$D$13</f>
        <v>2.1428571428571432</v>
      </c>
      <c r="D37" s="29">
        <f>C37/$D$10</f>
        <v>1.5197568389057753E-2</v>
      </c>
      <c r="E37" s="25">
        <f t="shared" si="1"/>
        <v>-1.3999999999999998E-3</v>
      </c>
      <c r="F37" s="17">
        <f t="shared" si="2"/>
        <v>0.19439999999999996</v>
      </c>
      <c r="G37" s="25">
        <f t="shared" si="3"/>
        <v>1.7999999999999999E-2</v>
      </c>
      <c r="H37" s="25">
        <f t="shared" si="4"/>
        <v>4.6349999999999988E-2</v>
      </c>
      <c r="I37" s="25">
        <f t="shared" si="5"/>
        <v>0.14504999999999998</v>
      </c>
      <c r="J37" s="26">
        <f t="shared" ref="J37:J54" si="8">SIGN(G37)*MIN($D$8*ABS(G37),$D$7)</f>
        <v>80</v>
      </c>
      <c r="K37" s="26">
        <f t="shared" si="6"/>
        <v>80</v>
      </c>
      <c r="L37" s="26">
        <f t="shared" si="7"/>
        <v>80</v>
      </c>
      <c r="M37" s="27">
        <f t="shared" ref="M37:M54" si="9">$D$26*J37</f>
        <v>2476.8000000000002</v>
      </c>
      <c r="N37" s="27">
        <f t="shared" ref="N37:N54" si="10">$D$27*K37*2</f>
        <v>1353.6000000000001</v>
      </c>
      <c r="O37" s="27">
        <f t="shared" ref="O37:O54" si="11">$D$28*L37*2</f>
        <v>1353.6000000000001</v>
      </c>
      <c r="P37" s="27">
        <f t="shared" ref="P37:P54" si="12">$D$15*C37*$D$11*(-0.85*$D$6)</f>
        <v>-2838.1500000000005</v>
      </c>
      <c r="Q37" s="27">
        <f t="shared" ref="Q37:Q54" si="13">SUM(M37:P37)</f>
        <v>2345.8500000000004</v>
      </c>
      <c r="R37" s="27">
        <f t="shared" ref="R37:R54" si="14">(P37*($D$18-$D$15*C37/2)+M37*($D$18-$D$20)+N37*($D$18-$D$21)+O37*($D$18-$D$22))/12</f>
        <v>-10225.223750000001</v>
      </c>
      <c r="S37" s="16">
        <f t="shared" ref="S37:S54" si="15">MAX(0.65,MIN(0.9,0.65+(F37-0.002)*250/3))</f>
        <v>0.9</v>
      </c>
      <c r="T37" s="27">
        <f t="shared" ref="T37:T54" si="16">S37*Q37</f>
        <v>2111.2650000000003</v>
      </c>
      <c r="U37" s="27">
        <f t="shared" ref="U37:U54" si="17">S37*R37</f>
        <v>-9202.7013750000006</v>
      </c>
    </row>
    <row r="38" spans="1:21">
      <c r="B38" s="22">
        <v>0.1</v>
      </c>
      <c r="C38" s="23">
        <f>B38/$D$15*$D$13</f>
        <v>4.2857142857142865</v>
      </c>
      <c r="D38" s="29">
        <f>C38/$D$10</f>
        <v>3.0395136778115506E-2</v>
      </c>
      <c r="E38" s="25">
        <f t="shared" si="1"/>
        <v>-6.9999999999999988E-4</v>
      </c>
      <c r="F38" s="17">
        <f t="shared" si="2"/>
        <v>9.5699999999999993E-2</v>
      </c>
      <c r="G38" s="25">
        <f t="shared" si="3"/>
        <v>7.499999999999998E-3</v>
      </c>
      <c r="H38" s="25">
        <f t="shared" si="4"/>
        <v>2.1674999999999996E-2</v>
      </c>
      <c r="I38" s="25">
        <f t="shared" si="5"/>
        <v>7.1024999999999991E-2</v>
      </c>
      <c r="J38" s="26">
        <f t="shared" si="8"/>
        <v>80</v>
      </c>
      <c r="K38" s="26">
        <f t="shared" si="6"/>
        <v>80</v>
      </c>
      <c r="L38" s="26">
        <f t="shared" si="7"/>
        <v>80</v>
      </c>
      <c r="M38" s="27">
        <f t="shared" si="9"/>
        <v>2476.8000000000002</v>
      </c>
      <c r="N38" s="27">
        <f t="shared" si="10"/>
        <v>1353.6000000000001</v>
      </c>
      <c r="O38" s="27">
        <f t="shared" si="11"/>
        <v>1353.6000000000001</v>
      </c>
      <c r="P38" s="27">
        <f t="shared" si="12"/>
        <v>-5676.3000000000011</v>
      </c>
      <c r="Q38" s="27">
        <f t="shared" si="13"/>
        <v>-492.30000000000018</v>
      </c>
      <c r="R38" s="27">
        <f t="shared" si="14"/>
        <v>-20095.678750000003</v>
      </c>
      <c r="S38" s="16">
        <f t="shared" si="15"/>
        <v>0.9</v>
      </c>
      <c r="T38" s="27">
        <f t="shared" si="16"/>
        <v>-443.07000000000016</v>
      </c>
      <c r="U38" s="27">
        <f t="shared" si="17"/>
        <v>-18086.110875000002</v>
      </c>
    </row>
    <row r="39" spans="1:21">
      <c r="B39" s="22">
        <v>0.15</v>
      </c>
      <c r="C39" s="23">
        <f>B39/$D$15*$D$13</f>
        <v>6.4285714285714288</v>
      </c>
      <c r="D39" s="29">
        <f t="shared" ref="D39:D53" si="18">C39/$D$10</f>
        <v>4.5592705167173252E-2</v>
      </c>
      <c r="E39" s="25">
        <f t="shared" si="1"/>
        <v>-4.6666666666666666E-4</v>
      </c>
      <c r="F39" s="17">
        <f t="shared" si="2"/>
        <v>6.2800000000000009E-2</v>
      </c>
      <c r="G39" s="25">
        <f t="shared" si="3"/>
        <v>4.0000000000000001E-3</v>
      </c>
      <c r="H39" s="25">
        <f t="shared" si="4"/>
        <v>1.3449999999999998E-2</v>
      </c>
      <c r="I39" s="25">
        <f t="shared" si="5"/>
        <v>4.6349999999999995E-2</v>
      </c>
      <c r="J39" s="26">
        <f t="shared" si="8"/>
        <v>80</v>
      </c>
      <c r="K39" s="26">
        <f t="shared" si="6"/>
        <v>80</v>
      </c>
      <c r="L39" s="26">
        <f t="shared" si="7"/>
        <v>80</v>
      </c>
      <c r="M39" s="27">
        <f t="shared" si="9"/>
        <v>2476.8000000000002</v>
      </c>
      <c r="N39" s="27">
        <f t="shared" si="10"/>
        <v>1353.6000000000001</v>
      </c>
      <c r="O39" s="27">
        <f t="shared" si="11"/>
        <v>1353.6000000000001</v>
      </c>
      <c r="P39" s="27">
        <f t="shared" si="12"/>
        <v>-8514.4500000000007</v>
      </c>
      <c r="Q39" s="27">
        <f t="shared" si="13"/>
        <v>-3330.45</v>
      </c>
      <c r="R39" s="27">
        <f t="shared" si="14"/>
        <v>-29611.365000000005</v>
      </c>
      <c r="S39" s="16">
        <f t="shared" si="15"/>
        <v>0.9</v>
      </c>
      <c r="T39" s="27">
        <f t="shared" si="16"/>
        <v>-2997.4049999999997</v>
      </c>
      <c r="U39" s="27">
        <f t="shared" si="17"/>
        <v>-26650.228500000005</v>
      </c>
    </row>
    <row r="40" spans="1:21">
      <c r="B40" s="22">
        <v>0.2</v>
      </c>
      <c r="C40" s="23">
        <f>B40/$D$15*$D$13</f>
        <v>8.571428571428573</v>
      </c>
      <c r="D40" s="29">
        <f t="shared" si="18"/>
        <v>6.0790273556231011E-2</v>
      </c>
      <c r="E40" s="25">
        <f t="shared" si="1"/>
        <v>-3.4999999999999994E-4</v>
      </c>
      <c r="F40" s="17">
        <f t="shared" si="2"/>
        <v>4.6349999999999988E-2</v>
      </c>
      <c r="G40" s="25">
        <f t="shared" si="3"/>
        <v>2.249999999999999E-3</v>
      </c>
      <c r="H40" s="25">
        <f t="shared" si="4"/>
        <v>9.3374999999999986E-3</v>
      </c>
      <c r="I40" s="25">
        <f t="shared" si="5"/>
        <v>3.4012499999999994E-2</v>
      </c>
      <c r="J40" s="26">
        <f t="shared" si="8"/>
        <v>65.249999999999972</v>
      </c>
      <c r="K40" s="26">
        <f t="shared" si="6"/>
        <v>80</v>
      </c>
      <c r="L40" s="26">
        <f t="shared" si="7"/>
        <v>80</v>
      </c>
      <c r="M40" s="27">
        <f t="shared" si="9"/>
        <v>2020.1399999999992</v>
      </c>
      <c r="N40" s="27">
        <f t="shared" si="10"/>
        <v>1353.6000000000001</v>
      </c>
      <c r="O40" s="27">
        <f t="shared" si="11"/>
        <v>1353.6000000000001</v>
      </c>
      <c r="P40" s="27">
        <f t="shared" si="12"/>
        <v>-11352.600000000002</v>
      </c>
      <c r="Q40" s="27">
        <f t="shared" si="13"/>
        <v>-6625.2600000000029</v>
      </c>
      <c r="R40" s="27">
        <f t="shared" si="14"/>
        <v>-39875.243250000007</v>
      </c>
      <c r="S40" s="16">
        <f t="shared" si="15"/>
        <v>0.9</v>
      </c>
      <c r="T40" s="27">
        <f t="shared" si="16"/>
        <v>-5962.7340000000031</v>
      </c>
      <c r="U40" s="27">
        <f t="shared" si="17"/>
        <v>-35887.718925000008</v>
      </c>
    </row>
    <row r="41" spans="1:21">
      <c r="B41" s="22">
        <v>0.25</v>
      </c>
      <c r="C41" s="23">
        <f>B41/$D$15*$D$13</f>
        <v>10.714285714285715</v>
      </c>
      <c r="D41" s="29">
        <f t="shared" si="18"/>
        <v>7.5987841945288764E-2</v>
      </c>
      <c r="E41" s="25">
        <f t="shared" si="1"/>
        <v>-2.7999999999999998E-4</v>
      </c>
      <c r="F41" s="17">
        <f t="shared" si="2"/>
        <v>3.6479999999999992E-2</v>
      </c>
      <c r="G41" s="25">
        <f t="shared" si="3"/>
        <v>1.1999999999999997E-3</v>
      </c>
      <c r="H41" s="25">
        <f t="shared" si="4"/>
        <v>6.8699999999999994E-3</v>
      </c>
      <c r="I41" s="25">
        <f t="shared" si="5"/>
        <v>2.6609999999999995E-2</v>
      </c>
      <c r="J41" s="26">
        <f t="shared" si="8"/>
        <v>34.79999999999999</v>
      </c>
      <c r="K41" s="26">
        <f t="shared" si="6"/>
        <v>80</v>
      </c>
      <c r="L41" s="26">
        <f t="shared" si="7"/>
        <v>80</v>
      </c>
      <c r="M41" s="27">
        <f t="shared" si="9"/>
        <v>1077.4079999999997</v>
      </c>
      <c r="N41" s="27">
        <f t="shared" si="10"/>
        <v>1353.6000000000001</v>
      </c>
      <c r="O41" s="27">
        <f t="shared" si="11"/>
        <v>1353.6000000000001</v>
      </c>
      <c r="P41" s="27">
        <f t="shared" si="12"/>
        <v>-14190.75</v>
      </c>
      <c r="Q41" s="27">
        <f t="shared" si="13"/>
        <v>-10406.142</v>
      </c>
      <c r="R41" s="27">
        <f t="shared" si="14"/>
        <v>-50958.351649999997</v>
      </c>
      <c r="S41" s="16">
        <f t="shared" si="15"/>
        <v>0.9</v>
      </c>
      <c r="T41" s="27">
        <f t="shared" si="16"/>
        <v>-9365.5277999999998</v>
      </c>
      <c r="U41" s="27">
        <f t="shared" si="17"/>
        <v>-45862.516485</v>
      </c>
    </row>
    <row r="42" spans="1:21">
      <c r="B42" s="22">
        <v>0.3</v>
      </c>
      <c r="C42" s="48">
        <f t="shared" si="0"/>
        <v>12.857142857142858</v>
      </c>
      <c r="D42" s="31">
        <f t="shared" si="18"/>
        <v>9.1185410334346503E-2</v>
      </c>
      <c r="E42" s="43">
        <f t="shared" si="1"/>
        <v>-2.3333333333333333E-4</v>
      </c>
      <c r="F42" s="42">
        <f t="shared" si="2"/>
        <v>2.9899999999999999E-2</v>
      </c>
      <c r="G42" s="43">
        <f t="shared" si="3"/>
        <v>4.999999999999999E-4</v>
      </c>
      <c r="H42" s="43">
        <f t="shared" si="4"/>
        <v>5.2249999999999996E-3</v>
      </c>
      <c r="I42" s="43">
        <f t="shared" si="5"/>
        <v>2.1675E-2</v>
      </c>
      <c r="J42" s="40">
        <f t="shared" si="8"/>
        <v>14.499999999999996</v>
      </c>
      <c r="K42" s="40">
        <f t="shared" si="6"/>
        <v>80</v>
      </c>
      <c r="L42" s="40">
        <f t="shared" si="7"/>
        <v>80</v>
      </c>
      <c r="M42" s="44">
        <f t="shared" si="9"/>
        <v>448.9199999999999</v>
      </c>
      <c r="N42" s="44">
        <f t="shared" si="10"/>
        <v>1353.6000000000001</v>
      </c>
      <c r="O42" s="44">
        <f t="shared" si="11"/>
        <v>1353.6000000000001</v>
      </c>
      <c r="P42" s="44">
        <f t="shared" si="12"/>
        <v>-17028.900000000001</v>
      </c>
      <c r="Q42" s="44">
        <f t="shared" si="13"/>
        <v>-13872.780000000002</v>
      </c>
      <c r="R42" s="44">
        <f t="shared" si="14"/>
        <v>-60927.704750000004</v>
      </c>
      <c r="S42" s="46">
        <f t="shared" si="15"/>
        <v>0.9</v>
      </c>
      <c r="T42" s="44">
        <f t="shared" si="16"/>
        <v>-12485.502000000002</v>
      </c>
      <c r="U42" s="27">
        <f t="shared" si="17"/>
        <v>-54834.934275000007</v>
      </c>
    </row>
    <row r="43" spans="1:21">
      <c r="B43" s="22">
        <v>0.35</v>
      </c>
      <c r="C43" s="48">
        <f t="shared" si="0"/>
        <v>15</v>
      </c>
      <c r="D43" s="31">
        <f t="shared" si="18"/>
        <v>0.10638297872340426</v>
      </c>
      <c r="E43" s="43">
        <f t="shared" si="1"/>
        <v>-2.0000000000000001E-4</v>
      </c>
      <c r="F43" s="42">
        <f t="shared" si="2"/>
        <v>2.52E-2</v>
      </c>
      <c r="G43" s="43">
        <f t="shared" si="3"/>
        <v>0</v>
      </c>
      <c r="H43" s="43">
        <f t="shared" si="4"/>
        <v>4.0499999999999998E-3</v>
      </c>
      <c r="I43" s="43">
        <f t="shared" si="5"/>
        <v>1.8149999999999999E-2</v>
      </c>
      <c r="J43" s="40">
        <f t="shared" si="8"/>
        <v>0</v>
      </c>
      <c r="K43" s="40">
        <f t="shared" si="6"/>
        <v>80</v>
      </c>
      <c r="L43" s="40">
        <f t="shared" si="7"/>
        <v>80</v>
      </c>
      <c r="M43" s="44">
        <f t="shared" si="9"/>
        <v>0</v>
      </c>
      <c r="N43" s="44">
        <f t="shared" si="10"/>
        <v>1353.6000000000001</v>
      </c>
      <c r="O43" s="44">
        <f t="shared" si="11"/>
        <v>1353.6000000000001</v>
      </c>
      <c r="P43" s="44">
        <f t="shared" si="12"/>
        <v>-19867.05</v>
      </c>
      <c r="Q43" s="44">
        <f t="shared" si="13"/>
        <v>-17159.849999999999</v>
      </c>
      <c r="R43" s="44">
        <f t="shared" si="14"/>
        <v>-70108.58249999999</v>
      </c>
      <c r="S43" s="46">
        <f t="shared" si="15"/>
        <v>0.9</v>
      </c>
      <c r="T43" s="44">
        <f t="shared" si="16"/>
        <v>-15443.865</v>
      </c>
      <c r="U43" s="27">
        <f t="shared" si="17"/>
        <v>-63097.724249999992</v>
      </c>
    </row>
    <row r="44" spans="1:21">
      <c r="B44" s="22">
        <v>0.4</v>
      </c>
      <c r="C44" s="48">
        <f t="shared" si="0"/>
        <v>17.142857142857146</v>
      </c>
      <c r="D44" s="31">
        <f t="shared" si="18"/>
        <v>0.12158054711246202</v>
      </c>
      <c r="E44" s="43">
        <f t="shared" si="1"/>
        <v>-1.7499999999999997E-4</v>
      </c>
      <c r="F44" s="42">
        <f t="shared" si="2"/>
        <v>2.1674999999999996E-2</v>
      </c>
      <c r="G44" s="43">
        <f t="shared" si="3"/>
        <v>-3.750000000000005E-4</v>
      </c>
      <c r="H44" s="43">
        <f t="shared" si="4"/>
        <v>3.1687499999999988E-3</v>
      </c>
      <c r="I44" s="43">
        <f t="shared" si="5"/>
        <v>1.5506249999999997E-2</v>
      </c>
      <c r="J44" s="40">
        <f t="shared" si="8"/>
        <v>-10.875000000000014</v>
      </c>
      <c r="K44" s="40">
        <f t="shared" si="6"/>
        <v>80</v>
      </c>
      <c r="L44" s="40">
        <f t="shared" si="7"/>
        <v>80</v>
      </c>
      <c r="M44" s="44">
        <f t="shared" si="9"/>
        <v>-336.69000000000045</v>
      </c>
      <c r="N44" s="44">
        <f t="shared" si="10"/>
        <v>1353.6000000000001</v>
      </c>
      <c r="O44" s="44">
        <f t="shared" si="11"/>
        <v>1353.6000000000001</v>
      </c>
      <c r="P44" s="44">
        <f t="shared" si="12"/>
        <v>-22705.200000000004</v>
      </c>
      <c r="Q44" s="44">
        <f t="shared" si="13"/>
        <v>-20334.690000000006</v>
      </c>
      <c r="R44" s="44">
        <f t="shared" si="14"/>
        <v>-78663.624875000009</v>
      </c>
      <c r="S44" s="46">
        <f t="shared" si="15"/>
        <v>0.9</v>
      </c>
      <c r="T44" s="44">
        <f t="shared" si="16"/>
        <v>-18301.221000000005</v>
      </c>
      <c r="U44" s="27">
        <f t="shared" si="17"/>
        <v>-70797.262387500014</v>
      </c>
    </row>
    <row r="45" spans="1:21">
      <c r="B45" s="22">
        <v>0.45</v>
      </c>
      <c r="C45" s="48">
        <f t="shared" si="0"/>
        <v>19.285714285714288</v>
      </c>
      <c r="D45" s="31">
        <f t="shared" si="18"/>
        <v>0.13677811550151978</v>
      </c>
      <c r="E45" s="43">
        <f t="shared" si="1"/>
        <v>-1.5555555555555554E-4</v>
      </c>
      <c r="F45" s="42">
        <f t="shared" si="2"/>
        <v>1.893333333333333E-2</v>
      </c>
      <c r="G45" s="43">
        <f t="shared" si="3"/>
        <v>-6.6666666666666697E-4</v>
      </c>
      <c r="H45" s="43">
        <f t="shared" si="4"/>
        <v>2.4833333333333326E-3</v>
      </c>
      <c r="I45" s="43">
        <f t="shared" si="5"/>
        <v>1.3449999999999997E-2</v>
      </c>
      <c r="J45" s="40">
        <f t="shared" si="8"/>
        <v>-19.333333333333343</v>
      </c>
      <c r="K45" s="40">
        <f t="shared" si="6"/>
        <v>72.016666666666652</v>
      </c>
      <c r="L45" s="40">
        <f t="shared" si="7"/>
        <v>80</v>
      </c>
      <c r="M45" s="44">
        <f t="shared" si="9"/>
        <v>-598.56000000000029</v>
      </c>
      <c r="N45" s="44">
        <f t="shared" si="10"/>
        <v>1218.5219999999999</v>
      </c>
      <c r="O45" s="44">
        <f t="shared" si="11"/>
        <v>1353.6000000000001</v>
      </c>
      <c r="P45" s="44">
        <f t="shared" si="12"/>
        <v>-25543.350000000006</v>
      </c>
      <c r="Q45" s="44">
        <f t="shared" si="13"/>
        <v>-23569.788000000008</v>
      </c>
      <c r="R45" s="44">
        <f t="shared" si="14"/>
        <v>-86781.494183333358</v>
      </c>
      <c r="S45" s="46">
        <f t="shared" si="15"/>
        <v>0.9</v>
      </c>
      <c r="T45" s="44">
        <f t="shared" si="16"/>
        <v>-21212.809200000007</v>
      </c>
      <c r="U45" s="27">
        <f t="shared" si="17"/>
        <v>-78103.344765000031</v>
      </c>
    </row>
    <row r="46" spans="1:21">
      <c r="B46" s="22">
        <v>0.5</v>
      </c>
      <c r="C46" s="23">
        <f t="shared" si="0"/>
        <v>21.428571428571431</v>
      </c>
      <c r="D46" s="29">
        <f t="shared" si="18"/>
        <v>0.15197568389057753</v>
      </c>
      <c r="E46" s="25">
        <f t="shared" si="1"/>
        <v>-1.3999999999999999E-4</v>
      </c>
      <c r="F46" s="17">
        <f t="shared" si="2"/>
        <v>1.6739999999999998E-2</v>
      </c>
      <c r="G46" s="25">
        <f t="shared" si="3"/>
        <v>-9.0000000000000019E-4</v>
      </c>
      <c r="H46" s="25">
        <f t="shared" si="4"/>
        <v>1.9349999999999997E-3</v>
      </c>
      <c r="I46" s="25">
        <f t="shared" si="5"/>
        <v>1.1805E-2</v>
      </c>
      <c r="J46" s="26">
        <f t="shared" si="8"/>
        <v>-26.100000000000005</v>
      </c>
      <c r="K46" s="26">
        <f t="shared" si="6"/>
        <v>56.114999999999988</v>
      </c>
      <c r="L46" s="26">
        <f t="shared" si="7"/>
        <v>80</v>
      </c>
      <c r="M46" s="27">
        <f t="shared" si="9"/>
        <v>-808.05600000000015</v>
      </c>
      <c r="N46" s="27">
        <f t="shared" si="10"/>
        <v>949.46579999999994</v>
      </c>
      <c r="O46" s="27">
        <f t="shared" si="11"/>
        <v>1353.6000000000001</v>
      </c>
      <c r="P46" s="27">
        <f t="shared" si="12"/>
        <v>-28381.5</v>
      </c>
      <c r="Q46" s="27">
        <f t="shared" si="13"/>
        <v>-26886.4902</v>
      </c>
      <c r="R46" s="27">
        <f t="shared" si="14"/>
        <v>-94515.603340000016</v>
      </c>
      <c r="S46" s="16">
        <f t="shared" si="15"/>
        <v>0.9</v>
      </c>
      <c r="T46" s="27">
        <f t="shared" si="16"/>
        <v>-24197.841179999999</v>
      </c>
      <c r="U46" s="27">
        <f t="shared" si="17"/>
        <v>-85064.043006000022</v>
      </c>
    </row>
    <row r="47" spans="1:21">
      <c r="B47" s="22">
        <v>0.55000000000000004</v>
      </c>
      <c r="C47" s="23">
        <f t="shared" si="0"/>
        <v>23.571428571428573</v>
      </c>
      <c r="D47" s="29">
        <f t="shared" si="18"/>
        <v>0.16717325227963528</v>
      </c>
      <c r="E47" s="25">
        <f t="shared" si="1"/>
        <v>-1.2727272727272725E-4</v>
      </c>
      <c r="F47" s="17">
        <f t="shared" si="2"/>
        <v>1.4945454545454543E-2</v>
      </c>
      <c r="G47" s="25">
        <f t="shared" si="3"/>
        <v>-1.090909090909091E-3</v>
      </c>
      <c r="H47" s="25">
        <f t="shared" si="4"/>
        <v>1.4863636363636359E-3</v>
      </c>
      <c r="I47" s="25">
        <f t="shared" si="5"/>
        <v>1.0459090909090907E-2</v>
      </c>
      <c r="J47" s="26">
        <f t="shared" si="8"/>
        <v>-31.636363636363637</v>
      </c>
      <c r="K47" s="26">
        <f t="shared" si="6"/>
        <v>43.104545454545445</v>
      </c>
      <c r="L47" s="26">
        <f t="shared" si="7"/>
        <v>80</v>
      </c>
      <c r="M47" s="27">
        <f t="shared" si="9"/>
        <v>-979.46181818181822</v>
      </c>
      <c r="N47" s="27">
        <f t="shared" si="10"/>
        <v>729.32890909090895</v>
      </c>
      <c r="O47" s="27">
        <f t="shared" si="11"/>
        <v>1353.6000000000001</v>
      </c>
      <c r="P47" s="27">
        <f t="shared" si="12"/>
        <v>-31219.65</v>
      </c>
      <c r="Q47" s="27">
        <f t="shared" si="13"/>
        <v>-30116.182909090909</v>
      </c>
      <c r="R47" s="27">
        <f t="shared" si="14"/>
        <v>-101767.34299090911</v>
      </c>
      <c r="S47" s="16">
        <f t="shared" si="15"/>
        <v>0.9</v>
      </c>
      <c r="T47" s="27">
        <f t="shared" si="16"/>
        <v>-27104.564618181819</v>
      </c>
      <c r="U47" s="27">
        <f t="shared" si="17"/>
        <v>-91590.608691818197</v>
      </c>
    </row>
    <row r="48" spans="1:21">
      <c r="B48" s="22">
        <v>0.6</v>
      </c>
      <c r="C48" s="23">
        <f t="shared" si="0"/>
        <v>25.714285714285715</v>
      </c>
      <c r="D48" s="29">
        <f t="shared" si="18"/>
        <v>0.18237082066869301</v>
      </c>
      <c r="E48" s="25">
        <f t="shared" si="1"/>
        <v>-1.1666666666666667E-4</v>
      </c>
      <c r="F48" s="17">
        <f t="shared" si="2"/>
        <v>1.3449999999999998E-2</v>
      </c>
      <c r="G48" s="25">
        <f t="shared" si="3"/>
        <v>-1.25E-3</v>
      </c>
      <c r="H48" s="25">
        <f t="shared" si="4"/>
        <v>1.1124999999999998E-3</v>
      </c>
      <c r="I48" s="25">
        <f t="shared" si="5"/>
        <v>9.3374999999999986E-3</v>
      </c>
      <c r="J48" s="26">
        <f t="shared" si="8"/>
        <v>-36.25</v>
      </c>
      <c r="K48" s="26">
        <f t="shared" si="6"/>
        <v>32.262499999999996</v>
      </c>
      <c r="L48" s="26">
        <f t="shared" si="7"/>
        <v>80</v>
      </c>
      <c r="M48" s="27">
        <f t="shared" si="9"/>
        <v>-1122.3</v>
      </c>
      <c r="N48" s="27">
        <f t="shared" si="10"/>
        <v>545.88149999999996</v>
      </c>
      <c r="O48" s="27">
        <f t="shared" si="11"/>
        <v>1353.6000000000001</v>
      </c>
      <c r="P48" s="27">
        <f t="shared" si="12"/>
        <v>-34057.800000000003</v>
      </c>
      <c r="Q48" s="27">
        <f t="shared" si="13"/>
        <v>-33280.618500000004</v>
      </c>
      <c r="R48" s="27">
        <f t="shared" si="14"/>
        <v>-108568.61332500003</v>
      </c>
      <c r="S48" s="16">
        <f t="shared" si="15"/>
        <v>0.9</v>
      </c>
      <c r="T48" s="27">
        <f t="shared" si="16"/>
        <v>-29952.556650000006</v>
      </c>
      <c r="U48" s="27">
        <f t="shared" si="17"/>
        <v>-97711.751992500023</v>
      </c>
    </row>
    <row r="49" spans="1:21">
      <c r="B49" s="22">
        <v>0.65</v>
      </c>
      <c r="C49" s="23">
        <f t="shared" si="0"/>
        <v>27.857142857142861</v>
      </c>
      <c r="D49" s="29">
        <f t="shared" si="18"/>
        <v>0.19756838905775079</v>
      </c>
      <c r="E49" s="25">
        <f t="shared" si="1"/>
        <v>-1.0769230769230768E-4</v>
      </c>
      <c r="F49" s="17">
        <f t="shared" si="2"/>
        <v>1.2184615384615382E-2</v>
      </c>
      <c r="G49" s="25">
        <f t="shared" si="3"/>
        <v>-1.384615384615385E-3</v>
      </c>
      <c r="H49" s="25">
        <f t="shared" si="4"/>
        <v>7.9615384615384563E-4</v>
      </c>
      <c r="I49" s="25">
        <f t="shared" si="5"/>
        <v>8.3884615384615373E-3</v>
      </c>
      <c r="J49" s="26">
        <f t="shared" si="8"/>
        <v>-40.15384615384616</v>
      </c>
      <c r="K49" s="26">
        <f t="shared" si="6"/>
        <v>23.088461538461523</v>
      </c>
      <c r="L49" s="26">
        <f t="shared" si="7"/>
        <v>80</v>
      </c>
      <c r="M49" s="27">
        <f t="shared" si="9"/>
        <v>-1243.1630769230771</v>
      </c>
      <c r="N49" s="27">
        <f t="shared" si="10"/>
        <v>390.65676923076899</v>
      </c>
      <c r="O49" s="27">
        <f t="shared" si="11"/>
        <v>1353.6000000000001</v>
      </c>
      <c r="P49" s="27">
        <f t="shared" si="12"/>
        <v>-36895.950000000004</v>
      </c>
      <c r="Q49" s="27">
        <f t="shared" si="13"/>
        <v>-36394.856307692309</v>
      </c>
      <c r="R49" s="27">
        <f t="shared" si="14"/>
        <v>-114941.49908846157</v>
      </c>
      <c r="S49" s="16">
        <f t="shared" si="15"/>
        <v>0.9</v>
      </c>
      <c r="T49" s="27">
        <f t="shared" si="16"/>
        <v>-32755.370676923078</v>
      </c>
      <c r="U49" s="27">
        <f t="shared" si="17"/>
        <v>-103447.34917961541</v>
      </c>
    </row>
    <row r="50" spans="1:21">
      <c r="B50" s="22">
        <v>0.7</v>
      </c>
      <c r="C50" s="23">
        <f t="shared" si="0"/>
        <v>30</v>
      </c>
      <c r="D50" s="29">
        <f t="shared" si="18"/>
        <v>0.21276595744680851</v>
      </c>
      <c r="E50" s="25">
        <f t="shared" si="1"/>
        <v>-1E-4</v>
      </c>
      <c r="F50" s="17">
        <f t="shared" si="2"/>
        <v>1.11E-2</v>
      </c>
      <c r="G50" s="25">
        <f t="shared" si="3"/>
        <v>-1.5E-3</v>
      </c>
      <c r="H50" s="25">
        <f t="shared" si="4"/>
        <v>5.2500000000000008E-4</v>
      </c>
      <c r="I50" s="25">
        <f t="shared" si="5"/>
        <v>7.5750000000000001E-3</v>
      </c>
      <c r="J50" s="26">
        <f t="shared" si="8"/>
        <v>-43.5</v>
      </c>
      <c r="K50" s="26">
        <f t="shared" si="6"/>
        <v>15.225000000000001</v>
      </c>
      <c r="L50" s="26">
        <f t="shared" si="7"/>
        <v>80</v>
      </c>
      <c r="M50" s="27">
        <f t="shared" si="9"/>
        <v>-1346.76</v>
      </c>
      <c r="N50" s="27">
        <f t="shared" si="10"/>
        <v>257.60700000000003</v>
      </c>
      <c r="O50" s="27">
        <f t="shared" si="11"/>
        <v>1353.6000000000001</v>
      </c>
      <c r="P50" s="27">
        <f t="shared" si="12"/>
        <v>-39734.1</v>
      </c>
      <c r="Q50" s="27">
        <f t="shared" si="13"/>
        <v>-39469.652999999998</v>
      </c>
      <c r="R50" s="27">
        <f t="shared" si="14"/>
        <v>-120901.77510000001</v>
      </c>
      <c r="S50" s="16">
        <f t="shared" si="15"/>
        <v>0.9</v>
      </c>
      <c r="T50" s="27">
        <f t="shared" si="16"/>
        <v>-35522.687700000002</v>
      </c>
      <c r="U50" s="27">
        <f t="shared" si="17"/>
        <v>-108811.59759000002</v>
      </c>
    </row>
    <row r="51" spans="1:21">
      <c r="B51" s="22">
        <v>0.75</v>
      </c>
      <c r="C51" s="23">
        <f t="shared" si="0"/>
        <v>32.142857142857139</v>
      </c>
      <c r="D51" s="29">
        <f t="shared" si="18"/>
        <v>0.22796352583586624</v>
      </c>
      <c r="E51" s="25">
        <f t="shared" si="1"/>
        <v>-9.3333333333333343E-5</v>
      </c>
      <c r="F51" s="17">
        <f t="shared" si="2"/>
        <v>1.0160000000000001E-2</v>
      </c>
      <c r="G51" s="25">
        <f t="shared" si="3"/>
        <v>-1.5999999999999999E-3</v>
      </c>
      <c r="H51" s="25">
        <f t="shared" si="4"/>
        <v>2.9000000000000044E-4</v>
      </c>
      <c r="I51" s="25">
        <f t="shared" si="5"/>
        <v>6.8700000000000011E-3</v>
      </c>
      <c r="J51" s="26">
        <f t="shared" si="8"/>
        <v>-46.4</v>
      </c>
      <c r="K51" s="26">
        <f t="shared" si="6"/>
        <v>8.4100000000000126</v>
      </c>
      <c r="L51" s="26">
        <f t="shared" si="7"/>
        <v>80</v>
      </c>
      <c r="M51" s="27">
        <f t="shared" si="9"/>
        <v>-1436.5440000000001</v>
      </c>
      <c r="N51" s="27">
        <f t="shared" si="10"/>
        <v>142.29720000000023</v>
      </c>
      <c r="O51" s="27">
        <f t="shared" si="11"/>
        <v>1353.6000000000001</v>
      </c>
      <c r="P51" s="27">
        <f t="shared" si="12"/>
        <v>-42572.249999999993</v>
      </c>
      <c r="Q51" s="27">
        <f t="shared" si="13"/>
        <v>-42512.896799999995</v>
      </c>
      <c r="R51" s="27">
        <f t="shared" si="14"/>
        <v>-126461.00955999999</v>
      </c>
      <c r="S51" s="16">
        <f t="shared" si="15"/>
        <v>0.9</v>
      </c>
      <c r="T51" s="27">
        <f t="shared" si="16"/>
        <v>-38261.607119999993</v>
      </c>
      <c r="U51" s="27">
        <f t="shared" si="17"/>
        <v>-113814.908604</v>
      </c>
    </row>
    <row r="52" spans="1:21">
      <c r="B52" s="22">
        <v>0.8</v>
      </c>
      <c r="C52" s="23">
        <f t="shared" si="0"/>
        <v>34.285714285714292</v>
      </c>
      <c r="D52" s="29">
        <f t="shared" si="18"/>
        <v>0.24316109422492405</v>
      </c>
      <c r="E52" s="25">
        <f t="shared" si="1"/>
        <v>-8.7499999999999986E-5</v>
      </c>
      <c r="F52" s="17">
        <f t="shared" si="2"/>
        <v>9.3374999999999986E-3</v>
      </c>
      <c r="G52" s="25">
        <f t="shared" si="3"/>
        <v>-1.6875000000000002E-3</v>
      </c>
      <c r="H52" s="25">
        <f t="shared" si="4"/>
        <v>8.4374999999999449E-5</v>
      </c>
      <c r="I52" s="25">
        <f t="shared" si="5"/>
        <v>6.2531249999999983E-3</v>
      </c>
      <c r="J52" s="26">
        <f t="shared" si="8"/>
        <v>-48.937500000000007</v>
      </c>
      <c r="K52" s="26">
        <f t="shared" si="6"/>
        <v>2.4468749999999839</v>
      </c>
      <c r="L52" s="26">
        <f t="shared" si="7"/>
        <v>80</v>
      </c>
      <c r="M52" s="27">
        <f t="shared" si="9"/>
        <v>-1515.1050000000002</v>
      </c>
      <c r="N52" s="27">
        <f t="shared" si="10"/>
        <v>41.40112499999973</v>
      </c>
      <c r="O52" s="27">
        <f t="shared" si="11"/>
        <v>1353.6000000000001</v>
      </c>
      <c r="P52" s="27">
        <f t="shared" si="12"/>
        <v>-45410.400000000009</v>
      </c>
      <c r="Q52" s="27">
        <f t="shared" si="13"/>
        <v>-45530.503875000009</v>
      </c>
      <c r="R52" s="27">
        <f t="shared" si="14"/>
        <v>-131627.87861875005</v>
      </c>
      <c r="S52" s="16">
        <f t="shared" si="15"/>
        <v>0.9</v>
      </c>
      <c r="T52" s="27">
        <f t="shared" si="16"/>
        <v>-40977.45348750001</v>
      </c>
      <c r="U52" s="27">
        <f t="shared" si="17"/>
        <v>-118465.09075687506</v>
      </c>
    </row>
    <row r="53" spans="1:21">
      <c r="B53" s="22">
        <v>0.85</v>
      </c>
      <c r="C53" s="23">
        <f t="shared" si="0"/>
        <v>36.428571428571431</v>
      </c>
      <c r="D53" s="29">
        <f t="shared" si="18"/>
        <v>0.25835866261398177</v>
      </c>
      <c r="E53" s="25">
        <f t="shared" si="1"/>
        <v>-8.2352941176470581E-5</v>
      </c>
      <c r="F53" s="17">
        <f t="shared" si="2"/>
        <v>8.6117647058823518E-3</v>
      </c>
      <c r="G53" s="25">
        <f t="shared" si="3"/>
        <v>-1.7647058823529412E-3</v>
      </c>
      <c r="H53" s="25">
        <f t="shared" si="4"/>
        <v>-9.7058823529411919E-5</v>
      </c>
      <c r="I53" s="25">
        <f t="shared" si="5"/>
        <v>5.7088235294117644E-3</v>
      </c>
      <c r="J53" s="26">
        <f t="shared" si="8"/>
        <v>-51.176470588235297</v>
      </c>
      <c r="K53" s="26">
        <f t="shared" si="6"/>
        <v>-2.8147058823529458</v>
      </c>
      <c r="L53" s="26">
        <f t="shared" si="7"/>
        <v>80</v>
      </c>
      <c r="M53" s="27">
        <f t="shared" si="9"/>
        <v>-1584.4235294117648</v>
      </c>
      <c r="N53" s="27">
        <f t="shared" si="10"/>
        <v>-47.624823529411849</v>
      </c>
      <c r="O53" s="27">
        <f t="shared" si="11"/>
        <v>1353.6000000000001</v>
      </c>
      <c r="P53" s="27">
        <f t="shared" si="12"/>
        <v>-48248.55</v>
      </c>
      <c r="Q53" s="27">
        <f t="shared" si="13"/>
        <v>-48526.998352941177</v>
      </c>
      <c r="R53" s="27">
        <f t="shared" si="14"/>
        <v>-136409.0169794118</v>
      </c>
      <c r="S53" s="16">
        <f t="shared" si="15"/>
        <v>0.9</v>
      </c>
      <c r="T53" s="27">
        <f t="shared" si="16"/>
        <v>-43674.298517647061</v>
      </c>
      <c r="U53" s="27">
        <f t="shared" si="17"/>
        <v>-122768.11528147061</v>
      </c>
    </row>
    <row r="54" spans="1:21">
      <c r="B54" s="22">
        <v>0.9</v>
      </c>
      <c r="C54" s="23">
        <f t="shared" si="0"/>
        <v>38.571428571428577</v>
      </c>
      <c r="D54" s="29">
        <f>C54/$D$10</f>
        <v>0.27355623100303955</v>
      </c>
      <c r="E54" s="25">
        <f t="shared" si="1"/>
        <v>-7.7777777777777768E-5</v>
      </c>
      <c r="F54" s="17">
        <f t="shared" si="2"/>
        <v>7.9666666666666653E-3</v>
      </c>
      <c r="G54" s="25">
        <f t="shared" si="3"/>
        <v>-1.8333333333333335E-3</v>
      </c>
      <c r="H54" s="25">
        <f t="shared" si="4"/>
        <v>-2.5833333333333372E-4</v>
      </c>
      <c r="I54" s="25">
        <f t="shared" si="5"/>
        <v>5.2249999999999987E-3</v>
      </c>
      <c r="J54" s="26">
        <f t="shared" si="8"/>
        <v>-53.166666666666671</v>
      </c>
      <c r="K54" s="26">
        <f t="shared" si="6"/>
        <v>-7.4916666666666778</v>
      </c>
      <c r="L54" s="26">
        <f t="shared" si="7"/>
        <v>80</v>
      </c>
      <c r="M54" s="27">
        <f t="shared" si="9"/>
        <v>-1646.0400000000002</v>
      </c>
      <c r="N54" s="27">
        <f t="shared" si="10"/>
        <v>-126.7590000000002</v>
      </c>
      <c r="O54" s="27">
        <f t="shared" si="11"/>
        <v>1353.6000000000001</v>
      </c>
      <c r="P54" s="27">
        <f t="shared" si="12"/>
        <v>-51086.700000000012</v>
      </c>
      <c r="Q54" s="27">
        <f t="shared" si="13"/>
        <v>-51505.899000000012</v>
      </c>
      <c r="R54" s="27">
        <f t="shared" si="14"/>
        <v>-140809.58496666673</v>
      </c>
      <c r="S54" s="16">
        <f t="shared" si="15"/>
        <v>0.9</v>
      </c>
      <c r="T54" s="27">
        <f t="shared" si="16"/>
        <v>-46355.309100000013</v>
      </c>
      <c r="U54" s="27">
        <f t="shared" si="17"/>
        <v>-126728.62647000006</v>
      </c>
    </row>
    <row r="56" spans="1:21">
      <c r="B56" s="18" t="s">
        <v>43</v>
      </c>
      <c r="C56" s="18" t="s">
        <v>37</v>
      </c>
      <c r="D56" s="18" t="s">
        <v>47</v>
      </c>
      <c r="E56" s="19" t="s">
        <v>19</v>
      </c>
      <c r="F56" s="19" t="s">
        <v>20</v>
      </c>
      <c r="G56" s="19" t="s">
        <v>21</v>
      </c>
      <c r="H56" s="19" t="s">
        <v>22</v>
      </c>
      <c r="I56" s="19" t="s">
        <v>23</v>
      </c>
      <c r="J56" s="19" t="s">
        <v>24</v>
      </c>
      <c r="K56" s="19" t="s">
        <v>25</v>
      </c>
      <c r="L56" s="19" t="s">
        <v>26</v>
      </c>
      <c r="M56" s="19" t="s">
        <v>27</v>
      </c>
      <c r="N56" s="19" t="s">
        <v>28</v>
      </c>
      <c r="O56" s="19" t="s">
        <v>29</v>
      </c>
      <c r="P56" s="19" t="s">
        <v>30</v>
      </c>
      <c r="Q56" s="19" t="s">
        <v>31</v>
      </c>
      <c r="R56" s="19" t="s">
        <v>32</v>
      </c>
      <c r="S56" s="19" t="s">
        <v>33</v>
      </c>
      <c r="T56" s="19"/>
      <c r="U56" s="19"/>
    </row>
    <row r="57" spans="1:21">
      <c r="C57" s="21" t="s">
        <v>14</v>
      </c>
      <c r="D57" s="21"/>
      <c r="E57" s="21" t="s">
        <v>39</v>
      </c>
      <c r="F57" s="20"/>
      <c r="G57" s="20"/>
      <c r="H57" s="20"/>
      <c r="I57" s="20"/>
      <c r="J57" s="21" t="s">
        <v>13</v>
      </c>
      <c r="K57" s="21" t="s">
        <v>13</v>
      </c>
      <c r="L57" s="21" t="s">
        <v>13</v>
      </c>
      <c r="M57" s="21" t="s">
        <v>41</v>
      </c>
      <c r="N57" s="21" t="s">
        <v>41</v>
      </c>
      <c r="O57" s="21" t="s">
        <v>41</v>
      </c>
      <c r="P57" s="21" t="s">
        <v>41</v>
      </c>
      <c r="Q57" s="21" t="s">
        <v>41</v>
      </c>
      <c r="R57" s="21" t="s">
        <v>42</v>
      </c>
      <c r="S57" s="21"/>
      <c r="T57" s="21"/>
      <c r="U57" s="21"/>
    </row>
    <row r="58" spans="1:21">
      <c r="A58" s="15" t="s">
        <v>44</v>
      </c>
      <c r="B58" s="22"/>
      <c r="C58" s="23"/>
      <c r="D58" s="23"/>
      <c r="E58" s="24"/>
      <c r="F58" s="17"/>
      <c r="G58" s="25"/>
      <c r="H58" s="25"/>
      <c r="I58" s="25"/>
      <c r="J58" s="26"/>
      <c r="K58" s="26"/>
      <c r="L58" s="26"/>
      <c r="M58" s="27"/>
      <c r="N58" s="27"/>
      <c r="O58" s="27"/>
      <c r="P58" s="27"/>
      <c r="Q58" s="27"/>
      <c r="R58" s="27"/>
      <c r="S58" s="16"/>
      <c r="T58" s="27"/>
      <c r="U58" s="27"/>
    </row>
    <row r="59" spans="1:21">
      <c r="B59" s="22">
        <v>1.0000000000000001E-5</v>
      </c>
      <c r="C59" s="30">
        <f>B59/$D$15*($D$10-$D$13)</f>
        <v>1.5857142857142858E-3</v>
      </c>
      <c r="D59" s="29">
        <f>C59/$D$10</f>
        <v>1.1246200607902737E-5</v>
      </c>
      <c r="E59" s="24">
        <f>-0.003/C59</f>
        <v>-1.8918918918918919</v>
      </c>
      <c r="F59" s="17">
        <f>E59*(C59-$D$10)</f>
        <v>266.75375675675679</v>
      </c>
      <c r="G59" s="25">
        <f>E59*(C59-$D$10+$D$20)</f>
        <v>238.37537837837837</v>
      </c>
      <c r="H59" s="25">
        <f>E59*(C59-$D$10+$D$21)</f>
        <v>200.06456756756756</v>
      </c>
      <c r="I59" s="25">
        <f>E59*(C59-$D$10+$D$22)</f>
        <v>66.686189189189193</v>
      </c>
      <c r="J59" s="26">
        <f>SIGN(G59)*MIN($D$8*ABS(G59),$D$7)</f>
        <v>80</v>
      </c>
      <c r="K59" s="26">
        <f>SIGN(H59)*MIN($D$8*ABS(H59),$D$7)</f>
        <v>80</v>
      </c>
      <c r="L59" s="26">
        <f>SIGN(I59)*MIN($D$8*ABS(I59),$D$7)</f>
        <v>80</v>
      </c>
      <c r="M59" s="27">
        <f>J59*$D$26</f>
        <v>2476.8000000000002</v>
      </c>
      <c r="N59" s="27">
        <f>K59*$D$27*2</f>
        <v>1353.6000000000001</v>
      </c>
      <c r="O59" s="27">
        <f>L59*$D$28*2</f>
        <v>1353.6000000000001</v>
      </c>
      <c r="P59" s="9">
        <f>$D$15*C59*2*$D$12*(-0.85*$D$6)</f>
        <v>-0.39626999999999996</v>
      </c>
      <c r="Q59" s="27">
        <f>SUM(M59:P59)</f>
        <v>5183.6037300000007</v>
      </c>
      <c r="R59" s="27">
        <f>(P59*(-$D$10+$D$18+$D$15*C59/2)+M59*($D$18-$D$20)+N59*($D$18-$D$21)+O59*($D$18-$D$22))/12</f>
        <v>3.2037145475139064</v>
      </c>
      <c r="S59" s="16">
        <f>MAX(0.65,MIN(0.9,0.65+(F59-0.002)*250/3))</f>
        <v>0.9</v>
      </c>
      <c r="T59" s="27">
        <f>Q59*S59</f>
        <v>4665.2433570000012</v>
      </c>
      <c r="U59" s="27">
        <f>R59*S59</f>
        <v>2.8833430927625159</v>
      </c>
    </row>
    <row r="60" spans="1:21">
      <c r="B60" s="22">
        <v>0.05</v>
      </c>
      <c r="C60" s="26">
        <f t="shared" ref="C60:C77" si="19">B60/$D$15*($D$10-$D$13)</f>
        <v>7.9285714285714297</v>
      </c>
      <c r="D60" s="31">
        <f t="shared" ref="D60:D77" si="20">C60/$D$10</f>
        <v>5.6231003039513686E-2</v>
      </c>
      <c r="E60" s="24">
        <f t="shared" ref="E60:E77" si="21">-0.003/C60</f>
        <v>-3.7837837837837834E-4</v>
      </c>
      <c r="F60" s="17">
        <f t="shared" ref="F60:F77" si="22">E60*(C60-$D$10)</f>
        <v>5.0351351351351353E-2</v>
      </c>
      <c r="G60" s="25">
        <f t="shared" ref="G60:G77" si="23">E60*(C60-$D$10+$D$20)</f>
        <v>4.4675675675675673E-2</v>
      </c>
      <c r="H60" s="25">
        <f t="shared" ref="H60:H77" si="24">E60*(C60-$D$10+$D$21)</f>
        <v>3.7013513513513514E-2</v>
      </c>
      <c r="I60" s="25">
        <f t="shared" ref="I60:I77" si="25">E60*(C60-$D$10+$D$22)</f>
        <v>1.0337837837837842E-2</v>
      </c>
      <c r="J60" s="26">
        <f t="shared" ref="J60:J77" si="26">SIGN(G60)*MIN($D$8*ABS(G60),$D$7)</f>
        <v>80</v>
      </c>
      <c r="K60" s="26">
        <f t="shared" ref="K60:L77" si="27">SIGN(H60)*MIN($D$8*ABS(H60),$D$7)</f>
        <v>80</v>
      </c>
      <c r="L60" s="26">
        <f t="shared" si="27"/>
        <v>80</v>
      </c>
      <c r="M60" s="27">
        <f t="shared" ref="M60:M77" si="28">J60*$D$26</f>
        <v>2476.8000000000002</v>
      </c>
      <c r="N60" s="27">
        <f t="shared" ref="N60:N77" si="29">K60*$D$27*2</f>
        <v>1353.6000000000001</v>
      </c>
      <c r="O60" s="27">
        <f t="shared" ref="O60:O77" si="30">L60*$D$28*2</f>
        <v>1353.6000000000001</v>
      </c>
      <c r="P60" s="9">
        <f t="shared" ref="P60:P77" si="31">$D$15*C60*2*$D$12*(-0.85*$D$6)</f>
        <v>-1981.3500000000004</v>
      </c>
      <c r="Q60" s="27">
        <f t="shared" ref="Q60:Q77" si="32">SUM(M60:P60)</f>
        <v>3202.6500000000005</v>
      </c>
      <c r="R60" s="27">
        <f t="shared" ref="R60:R77" si="33">(P60*(-$D$10+$D$18+$D$15*C60/2)+M60*($D$18-$D$20)+N60*($D$18-$D$21)+O60*($D$18-$D$22))/12</f>
        <v>15560.477187500006</v>
      </c>
      <c r="S60" s="16">
        <f t="shared" ref="S60:S77" si="34">MAX(0.65,MIN(0.9,0.65+(F60-0.002)*250/3))</f>
        <v>0.9</v>
      </c>
      <c r="T60" s="27">
        <f t="shared" ref="T60:T74" si="35">Q60*S60</f>
        <v>2882.3850000000007</v>
      </c>
      <c r="U60" s="27">
        <f t="shared" ref="U60:U74" si="36">R60*S60</f>
        <v>14004.429468750006</v>
      </c>
    </row>
    <row r="61" spans="1:21">
      <c r="B61" s="22">
        <v>9.9900000000000003E-2</v>
      </c>
      <c r="C61" s="26">
        <f t="shared" si="19"/>
        <v>15.841285714285718</v>
      </c>
      <c r="D61" s="31">
        <f t="shared" si="20"/>
        <v>0.11234954407294835</v>
      </c>
      <c r="E61" s="24">
        <f t="shared" si="21"/>
        <v>-1.8937856775694609E-4</v>
      </c>
      <c r="F61" s="17">
        <f t="shared" si="22"/>
        <v>2.3702378053729399E-2</v>
      </c>
      <c r="G61" s="25">
        <f t="shared" si="23"/>
        <v>2.0861699537375208E-2</v>
      </c>
      <c r="H61" s="25">
        <f t="shared" si="24"/>
        <v>1.702678354029705E-2</v>
      </c>
      <c r="I61" s="25">
        <f t="shared" si="25"/>
        <v>3.6755945134323495E-3</v>
      </c>
      <c r="J61" s="26">
        <f t="shared" si="26"/>
        <v>80</v>
      </c>
      <c r="K61" s="26">
        <f t="shared" si="27"/>
        <v>80</v>
      </c>
      <c r="L61" s="26">
        <f t="shared" si="27"/>
        <v>80</v>
      </c>
      <c r="M61" s="27">
        <f t="shared" si="28"/>
        <v>2476.8000000000002</v>
      </c>
      <c r="N61" s="27">
        <f t="shared" si="29"/>
        <v>1353.6000000000001</v>
      </c>
      <c r="O61" s="27">
        <f t="shared" si="30"/>
        <v>1353.6000000000001</v>
      </c>
      <c r="P61" s="9">
        <f t="shared" si="31"/>
        <v>-3958.7373000000011</v>
      </c>
      <c r="Q61" s="27">
        <f t="shared" si="32"/>
        <v>1225.2626999999998</v>
      </c>
      <c r="R61" s="27">
        <f t="shared" si="33"/>
        <v>30176.206336001258</v>
      </c>
      <c r="S61" s="16">
        <f t="shared" si="34"/>
        <v>0.9</v>
      </c>
      <c r="T61" s="27">
        <f t="shared" si="35"/>
        <v>1102.7364299999999</v>
      </c>
      <c r="U61" s="27">
        <f t="shared" si="36"/>
        <v>27158.585702401131</v>
      </c>
    </row>
    <row r="62" spans="1:21">
      <c r="B62" s="22">
        <v>0.14979999999999999</v>
      </c>
      <c r="C62" s="26">
        <f t="shared" si="19"/>
        <v>23.753999999999998</v>
      </c>
      <c r="D62" s="31">
        <f t="shared" si="20"/>
        <v>0.16846808510638298</v>
      </c>
      <c r="E62" s="24">
        <f t="shared" si="21"/>
        <v>-1.2629451881788332E-4</v>
      </c>
      <c r="F62" s="17">
        <f t="shared" si="22"/>
        <v>1.4807527153321549E-2</v>
      </c>
      <c r="G62" s="25">
        <f t="shared" si="23"/>
        <v>1.2913109371053298E-2</v>
      </c>
      <c r="H62" s="25">
        <f t="shared" si="24"/>
        <v>1.0355645364991161E-2</v>
      </c>
      <c r="I62" s="25">
        <f t="shared" si="25"/>
        <v>1.4518817883303879E-3</v>
      </c>
      <c r="J62" s="26">
        <f t="shared" si="26"/>
        <v>80</v>
      </c>
      <c r="K62" s="26">
        <f t="shared" si="27"/>
        <v>80</v>
      </c>
      <c r="L62" s="26">
        <f t="shared" si="27"/>
        <v>42.104571861581249</v>
      </c>
      <c r="M62" s="27">
        <f t="shared" si="28"/>
        <v>2476.8000000000002</v>
      </c>
      <c r="N62" s="27">
        <f t="shared" si="29"/>
        <v>1353.6000000000001</v>
      </c>
      <c r="O62" s="27">
        <f t="shared" si="30"/>
        <v>712.40935589795481</v>
      </c>
      <c r="P62" s="9">
        <f t="shared" si="31"/>
        <v>-5936.1245999999992</v>
      </c>
      <c r="Q62" s="27">
        <f t="shared" si="32"/>
        <v>-1393.3152441020438</v>
      </c>
      <c r="R62" s="27">
        <f t="shared" si="33"/>
        <v>47179.573673508021</v>
      </c>
      <c r="S62" s="16">
        <f t="shared" si="34"/>
        <v>0.9</v>
      </c>
      <c r="T62" s="27">
        <f t="shared" si="35"/>
        <v>-1253.9837196918395</v>
      </c>
      <c r="U62" s="27">
        <f t="shared" si="36"/>
        <v>42461.616306157222</v>
      </c>
    </row>
    <row r="63" spans="1:21">
      <c r="B63" s="22">
        <v>0.19969999999999999</v>
      </c>
      <c r="C63" s="26">
        <f t="shared" si="19"/>
        <v>31.666714285714288</v>
      </c>
      <c r="D63" s="31">
        <f t="shared" si="20"/>
        <v>0.22458662613981764</v>
      </c>
      <c r="E63" s="24">
        <f t="shared" si="21"/>
        <v>-9.4736699644060673E-5</v>
      </c>
      <c r="F63" s="17">
        <f t="shared" si="22"/>
        <v>1.0357874649812554E-2</v>
      </c>
      <c r="G63" s="25">
        <f t="shared" si="23"/>
        <v>8.9368241551516445E-3</v>
      </c>
      <c r="H63" s="25">
        <f t="shared" si="24"/>
        <v>7.0184059873594157E-3</v>
      </c>
      <c r="I63" s="25">
        <f t="shared" si="25"/>
        <v>3.3946866245313851E-4</v>
      </c>
      <c r="J63" s="26">
        <f t="shared" si="26"/>
        <v>80</v>
      </c>
      <c r="K63" s="26">
        <f t="shared" si="27"/>
        <v>80</v>
      </c>
      <c r="L63" s="26">
        <f t="shared" si="27"/>
        <v>9.844591211141017</v>
      </c>
      <c r="M63" s="27">
        <f t="shared" si="28"/>
        <v>2476.8000000000002</v>
      </c>
      <c r="N63" s="27">
        <f t="shared" si="29"/>
        <v>1353.6000000000001</v>
      </c>
      <c r="O63" s="27">
        <f t="shared" si="30"/>
        <v>166.57048329250603</v>
      </c>
      <c r="P63" s="9">
        <f t="shared" si="31"/>
        <v>-7913.5119000000013</v>
      </c>
      <c r="Q63" s="27">
        <f t="shared" si="32"/>
        <v>-3916.5414167074946</v>
      </c>
      <c r="R63" s="27">
        <f t="shared" si="33"/>
        <v>62779.431710841796</v>
      </c>
      <c r="S63" s="16">
        <f t="shared" si="34"/>
        <v>0.9</v>
      </c>
      <c r="T63" s="27">
        <f t="shared" si="35"/>
        <v>-3524.887275036745</v>
      </c>
      <c r="U63" s="27">
        <f t="shared" si="36"/>
        <v>56501.488539757614</v>
      </c>
    </row>
    <row r="64" spans="1:21">
      <c r="B64" s="22">
        <v>0.24959999999999999</v>
      </c>
      <c r="C64" s="26">
        <f t="shared" si="19"/>
        <v>39.579428571428572</v>
      </c>
      <c r="D64" s="29">
        <f t="shared" si="20"/>
        <v>0.28070516717325228</v>
      </c>
      <c r="E64" s="24">
        <f t="shared" si="21"/>
        <v>-7.5796950796950792E-5</v>
      </c>
      <c r="F64" s="17">
        <f t="shared" si="22"/>
        <v>7.687370062370062E-3</v>
      </c>
      <c r="G64" s="25">
        <f t="shared" si="23"/>
        <v>6.5504158004158009E-3</v>
      </c>
      <c r="H64" s="25">
        <f t="shared" si="24"/>
        <v>5.0155275467775474E-3</v>
      </c>
      <c r="I64" s="25">
        <f t="shared" si="25"/>
        <v>-3.2815748440748389E-4</v>
      </c>
      <c r="J64" s="26">
        <f t="shared" si="26"/>
        <v>80</v>
      </c>
      <c r="K64" s="26">
        <f t="shared" si="27"/>
        <v>80</v>
      </c>
      <c r="L64" s="26">
        <f t="shared" si="27"/>
        <v>-9.5165670478170323</v>
      </c>
      <c r="M64" s="27">
        <f t="shared" si="28"/>
        <v>2476.8000000000002</v>
      </c>
      <c r="N64" s="27">
        <f t="shared" si="29"/>
        <v>1353.6000000000001</v>
      </c>
      <c r="O64" s="27">
        <f t="shared" si="30"/>
        <v>-161.02031444906422</v>
      </c>
      <c r="P64" s="9">
        <f t="shared" si="31"/>
        <v>-9890.8991999999998</v>
      </c>
      <c r="Q64" s="27">
        <f t="shared" si="32"/>
        <v>-6221.5195144490635</v>
      </c>
      <c r="R64" s="27">
        <f t="shared" si="33"/>
        <v>76343.205864281437</v>
      </c>
      <c r="S64" s="16">
        <f t="shared" si="34"/>
        <v>0.9</v>
      </c>
      <c r="T64" s="27">
        <f t="shared" si="35"/>
        <v>-5599.3675630041571</v>
      </c>
      <c r="U64" s="27">
        <f t="shared" si="36"/>
        <v>68708.885277853289</v>
      </c>
    </row>
    <row r="65" spans="1:21">
      <c r="B65" s="22">
        <v>0.29949999999999999</v>
      </c>
      <c r="C65" s="26">
        <f t="shared" si="19"/>
        <v>47.492142857142859</v>
      </c>
      <c r="D65" s="29">
        <f t="shared" si="20"/>
        <v>0.33682370820668694</v>
      </c>
      <c r="E65" s="24">
        <f t="shared" si="21"/>
        <v>-6.3168343635789382E-5</v>
      </c>
      <c r="F65" s="17">
        <f t="shared" si="22"/>
        <v>5.9067364526463034E-3</v>
      </c>
      <c r="G65" s="25">
        <f t="shared" si="23"/>
        <v>4.9592112981094623E-3</v>
      </c>
      <c r="H65" s="25">
        <f t="shared" si="24"/>
        <v>3.6800523394847273E-3</v>
      </c>
      <c r="I65" s="25">
        <f t="shared" si="25"/>
        <v>-7.733158868384241E-4</v>
      </c>
      <c r="J65" s="26">
        <f t="shared" si="26"/>
        <v>80</v>
      </c>
      <c r="K65" s="26">
        <f t="shared" si="27"/>
        <v>80</v>
      </c>
      <c r="L65" s="26">
        <f t="shared" si="27"/>
        <v>-22.4261607183143</v>
      </c>
      <c r="M65" s="27">
        <f t="shared" si="28"/>
        <v>2476.8000000000002</v>
      </c>
      <c r="N65" s="27">
        <f t="shared" si="29"/>
        <v>1353.6000000000001</v>
      </c>
      <c r="O65" s="27">
        <f t="shared" si="30"/>
        <v>-379.45063935387799</v>
      </c>
      <c r="P65" s="9">
        <f t="shared" si="31"/>
        <v>-11868.2865</v>
      </c>
      <c r="Q65" s="27">
        <f t="shared" si="32"/>
        <v>-8417.3371393538782</v>
      </c>
      <c r="R65" s="27">
        <f t="shared" si="33"/>
        <v>88432.394263149981</v>
      </c>
      <c r="S65" s="16">
        <f t="shared" si="34"/>
        <v>0.9</v>
      </c>
      <c r="T65" s="27">
        <f t="shared" si="35"/>
        <v>-7575.6034254184906</v>
      </c>
      <c r="U65" s="27">
        <f t="shared" si="36"/>
        <v>79589.15483683499</v>
      </c>
    </row>
    <row r="66" spans="1:21">
      <c r="B66" s="22">
        <v>0.34939999999999999</v>
      </c>
      <c r="C66" s="26">
        <f t="shared" si="19"/>
        <v>55.404857142857146</v>
      </c>
      <c r="D66" s="29">
        <f t="shared" si="20"/>
        <v>0.39294224924012161</v>
      </c>
      <c r="E66" s="24">
        <f t="shared" si="21"/>
        <v>-5.4146877272235026E-5</v>
      </c>
      <c r="F66" s="17">
        <f t="shared" si="22"/>
        <v>4.6347096953851391E-3</v>
      </c>
      <c r="G66" s="25">
        <f t="shared" si="23"/>
        <v>3.8225065363016136E-3</v>
      </c>
      <c r="H66" s="25">
        <f t="shared" si="24"/>
        <v>2.7260322715388545E-3</v>
      </c>
      <c r="I66" s="25">
        <f t="shared" si="25"/>
        <v>-1.0913225761537151E-3</v>
      </c>
      <c r="J66" s="26">
        <f t="shared" si="26"/>
        <v>80</v>
      </c>
      <c r="K66" s="26">
        <f t="shared" si="27"/>
        <v>79.054935874626779</v>
      </c>
      <c r="L66" s="26">
        <f t="shared" si="27"/>
        <v>-31.648354708457738</v>
      </c>
      <c r="M66" s="27">
        <f t="shared" si="28"/>
        <v>2476.8000000000002</v>
      </c>
      <c r="N66" s="27">
        <f t="shared" si="29"/>
        <v>1337.6095149986852</v>
      </c>
      <c r="O66" s="27">
        <f t="shared" si="30"/>
        <v>-535.49016166710499</v>
      </c>
      <c r="P66" s="9">
        <f t="shared" si="31"/>
        <v>-13845.6738</v>
      </c>
      <c r="Q66" s="27">
        <f t="shared" si="32"/>
        <v>-10566.754446668419</v>
      </c>
      <c r="R66" s="27">
        <f t="shared" si="33"/>
        <v>99276.093273819439</v>
      </c>
      <c r="S66" s="16">
        <f t="shared" si="34"/>
        <v>0.86955914128209499</v>
      </c>
      <c r="T66" s="27">
        <f t="shared" si="35"/>
        <v>-9188.4179227837503</v>
      </c>
      <c r="U66" s="27">
        <f t="shared" si="36"/>
        <v>86326.4344170236</v>
      </c>
    </row>
    <row r="67" spans="1:21">
      <c r="B67" s="22">
        <v>0.39929999999999999</v>
      </c>
      <c r="C67" s="26">
        <f t="shared" si="19"/>
        <v>63.317571428571426</v>
      </c>
      <c r="D67" s="29">
        <f t="shared" si="20"/>
        <v>0.44906079027355622</v>
      </c>
      <c r="E67" s="24">
        <f t="shared" si="21"/>
        <v>-4.7380212669468872E-5</v>
      </c>
      <c r="F67" s="17">
        <f t="shared" si="22"/>
        <v>3.6806099863951106E-3</v>
      </c>
      <c r="G67" s="25">
        <f t="shared" si="23"/>
        <v>2.9699067963530777E-3</v>
      </c>
      <c r="H67" s="25">
        <f t="shared" si="24"/>
        <v>2.010457489796333E-3</v>
      </c>
      <c r="I67" s="25">
        <f t="shared" si="25"/>
        <v>-1.3298475034012225E-3</v>
      </c>
      <c r="J67" s="26">
        <f t="shared" si="26"/>
        <v>80</v>
      </c>
      <c r="K67" s="26">
        <f t="shared" si="27"/>
        <v>58.303267204093657</v>
      </c>
      <c r="L67" s="26">
        <f t="shared" si="27"/>
        <v>-38.56557759863545</v>
      </c>
      <c r="M67" s="27">
        <f t="shared" si="28"/>
        <v>2476.8000000000002</v>
      </c>
      <c r="N67" s="27">
        <f t="shared" si="29"/>
        <v>986.49128109326477</v>
      </c>
      <c r="O67" s="27">
        <f t="shared" si="30"/>
        <v>-652.52957296891191</v>
      </c>
      <c r="P67" s="9">
        <f t="shared" si="31"/>
        <v>-15823.061099999999</v>
      </c>
      <c r="Q67" s="27">
        <f t="shared" si="32"/>
        <v>-13012.299391875646</v>
      </c>
      <c r="R67" s="27">
        <f t="shared" si="33"/>
        <v>108762.43897505519</v>
      </c>
      <c r="S67" s="16">
        <f t="shared" si="34"/>
        <v>0.7900508321995926</v>
      </c>
      <c r="T67" s="27">
        <f t="shared" si="35"/>
        <v>-10280.377963381607</v>
      </c>
      <c r="U67" s="27">
        <f t="shared" si="36"/>
        <v>85927.855424299763</v>
      </c>
    </row>
    <row r="68" spans="1:21">
      <c r="B68" s="22">
        <v>0.44919999999999999</v>
      </c>
      <c r="C68" s="26">
        <f t="shared" si="19"/>
        <v>71.230285714285728</v>
      </c>
      <c r="D68" s="29">
        <f t="shared" si="20"/>
        <v>0.505179331306991</v>
      </c>
      <c r="E68" s="24">
        <f t="shared" si="21"/>
        <v>-4.2116916560371587E-5</v>
      </c>
      <c r="F68" s="17">
        <f t="shared" si="22"/>
        <v>2.9384852350123935E-3</v>
      </c>
      <c r="G68" s="25">
        <f t="shared" si="23"/>
        <v>2.3067314866068197E-3</v>
      </c>
      <c r="H68" s="25">
        <f t="shared" si="24"/>
        <v>1.4538639262592951E-3</v>
      </c>
      <c r="I68" s="25">
        <f t="shared" si="25"/>
        <v>-1.5153786912469019E-3</v>
      </c>
      <c r="J68" s="26">
        <f t="shared" si="26"/>
        <v>66.895213111597769</v>
      </c>
      <c r="K68" s="26">
        <f t="shared" si="27"/>
        <v>42.16205386151956</v>
      </c>
      <c r="L68" s="26">
        <f t="shared" si="27"/>
        <v>-43.945982046160154</v>
      </c>
      <c r="M68" s="27">
        <f t="shared" si="28"/>
        <v>2071.0757979350669</v>
      </c>
      <c r="N68" s="27">
        <f t="shared" si="29"/>
        <v>713.38195133691102</v>
      </c>
      <c r="O68" s="27">
        <f t="shared" si="30"/>
        <v>-743.56601622102983</v>
      </c>
      <c r="P68" s="9">
        <f t="shared" si="31"/>
        <v>-17800.448400000001</v>
      </c>
      <c r="Q68" s="27">
        <f t="shared" si="32"/>
        <v>-15759.556666949053</v>
      </c>
      <c r="R68" s="27">
        <f t="shared" si="33"/>
        <v>116279.06557605883</v>
      </c>
      <c r="S68" s="16">
        <f t="shared" si="34"/>
        <v>0.72820710291769952</v>
      </c>
      <c r="T68" s="27">
        <f t="shared" si="35"/>
        <v>-11476.221103706286</v>
      </c>
      <c r="U68" s="27">
        <f t="shared" si="36"/>
        <v>84675.241473119007</v>
      </c>
    </row>
    <row r="69" spans="1:21">
      <c r="B69" s="22">
        <v>0.49909999999999999</v>
      </c>
      <c r="C69" s="26">
        <f t="shared" si="19"/>
        <v>79.143000000000015</v>
      </c>
      <c r="D69" s="29">
        <f t="shared" si="20"/>
        <v>0.56129787234042561</v>
      </c>
      <c r="E69" s="24">
        <f t="shared" si="21"/>
        <v>-3.7906068761608724E-5</v>
      </c>
      <c r="F69" s="17">
        <f t="shared" si="22"/>
        <v>2.3447556953868302E-3</v>
      </c>
      <c r="G69" s="25">
        <f t="shared" si="23"/>
        <v>1.7761646639626995E-3</v>
      </c>
      <c r="H69" s="25">
        <f t="shared" si="24"/>
        <v>1.0085667715401228E-3</v>
      </c>
      <c r="I69" s="25">
        <f t="shared" si="25"/>
        <v>-1.6638110761532923E-3</v>
      </c>
      <c r="J69" s="26">
        <f t="shared" si="26"/>
        <v>51.508775254918284</v>
      </c>
      <c r="K69" s="26">
        <f t="shared" si="27"/>
        <v>29.248436374663562</v>
      </c>
      <c r="L69" s="26">
        <f t="shared" si="27"/>
        <v>-48.250521208445477</v>
      </c>
      <c r="M69" s="27">
        <f t="shared" si="28"/>
        <v>1594.71168189227</v>
      </c>
      <c r="N69" s="27">
        <f t="shared" si="29"/>
        <v>494.88354345930753</v>
      </c>
      <c r="O69" s="27">
        <f t="shared" si="30"/>
        <v>-816.3988188468976</v>
      </c>
      <c r="P69" s="9">
        <f t="shared" si="31"/>
        <v>-19777.835700000003</v>
      </c>
      <c r="Q69" s="27">
        <f t="shared" si="32"/>
        <v>-18504.639293495322</v>
      </c>
      <c r="R69" s="27">
        <f t="shared" si="33"/>
        <v>122658.41105142061</v>
      </c>
      <c r="S69" s="16">
        <f t="shared" si="34"/>
        <v>0.6787296412822359</v>
      </c>
      <c r="T69" s="27">
        <f t="shared" si="35"/>
        <v>-12559.647189731248</v>
      </c>
      <c r="U69" s="27">
        <f t="shared" si="36"/>
        <v>83251.899333179754</v>
      </c>
    </row>
    <row r="70" spans="1:21">
      <c r="B70" s="22">
        <v>0.54900000000000004</v>
      </c>
      <c r="C70" s="26">
        <f t="shared" si="19"/>
        <v>87.055714285714288</v>
      </c>
      <c r="D70" s="29">
        <f t="shared" si="20"/>
        <v>0.61741641337386022</v>
      </c>
      <c r="E70" s="24">
        <f t="shared" si="21"/>
        <v>-3.4460690198395119E-5</v>
      </c>
      <c r="F70" s="17">
        <f t="shared" si="22"/>
        <v>1.8589573179737114E-3</v>
      </c>
      <c r="G70" s="25">
        <f t="shared" si="23"/>
        <v>1.3420469649977848E-3</v>
      </c>
      <c r="H70" s="25">
        <f t="shared" si="24"/>
        <v>6.4421798848028351E-4</v>
      </c>
      <c r="I70" s="25">
        <f t="shared" si="25"/>
        <v>-1.7852606705065725E-3</v>
      </c>
      <c r="J70" s="26">
        <f t="shared" si="26"/>
        <v>38.919361984935755</v>
      </c>
      <c r="K70" s="26">
        <f t="shared" si="27"/>
        <v>18.682321665928221</v>
      </c>
      <c r="L70" s="26">
        <f t="shared" si="27"/>
        <v>-51.7725594446906</v>
      </c>
      <c r="M70" s="27">
        <f t="shared" si="28"/>
        <v>1204.943447053611</v>
      </c>
      <c r="N70" s="27">
        <f t="shared" si="29"/>
        <v>316.10488258750553</v>
      </c>
      <c r="O70" s="27">
        <f t="shared" si="30"/>
        <v>-875.99170580416501</v>
      </c>
      <c r="P70" s="9">
        <f t="shared" si="31"/>
        <v>-21755.223000000002</v>
      </c>
      <c r="Q70" s="27">
        <f t="shared" si="32"/>
        <v>-21110.166376163052</v>
      </c>
      <c r="R70" s="27">
        <f t="shared" si="33"/>
        <v>128294.95545236436</v>
      </c>
      <c r="S70" s="16">
        <f t="shared" si="34"/>
        <v>0.65</v>
      </c>
      <c r="T70" s="27">
        <f t="shared" si="35"/>
        <v>-13721.608144505984</v>
      </c>
      <c r="U70" s="27">
        <f t="shared" si="36"/>
        <v>83391.721044036836</v>
      </c>
    </row>
    <row r="71" spans="1:21">
      <c r="B71" s="22">
        <v>0.59889999999999999</v>
      </c>
      <c r="C71" s="26">
        <f t="shared" si="19"/>
        <v>94.968428571428575</v>
      </c>
      <c r="D71" s="29">
        <f t="shared" si="20"/>
        <v>0.67353495440729483</v>
      </c>
      <c r="E71" s="24">
        <f t="shared" si="21"/>
        <v>-3.1589445514975652E-5</v>
      </c>
      <c r="F71" s="17">
        <f t="shared" si="22"/>
        <v>1.4541118176115669E-3</v>
      </c>
      <c r="G71" s="25">
        <f t="shared" si="23"/>
        <v>9.8027013488693224E-4</v>
      </c>
      <c r="H71" s="25">
        <f t="shared" si="24"/>
        <v>3.4058386320867521E-4</v>
      </c>
      <c r="I71" s="25">
        <f t="shared" si="25"/>
        <v>-1.8864720455971083E-3</v>
      </c>
      <c r="J71" s="26">
        <f t="shared" si="26"/>
        <v>28.427833911721034</v>
      </c>
      <c r="K71" s="26">
        <f t="shared" si="27"/>
        <v>9.8769320330515811</v>
      </c>
      <c r="L71" s="26">
        <f t="shared" si="27"/>
        <v>-54.707689322316142</v>
      </c>
      <c r="M71" s="27">
        <f t="shared" si="28"/>
        <v>880.12573790688327</v>
      </c>
      <c r="N71" s="27">
        <f t="shared" si="29"/>
        <v>167.11768999923277</v>
      </c>
      <c r="O71" s="27">
        <f t="shared" si="30"/>
        <v>-925.65410333358921</v>
      </c>
      <c r="P71" s="9">
        <f t="shared" si="31"/>
        <v>-23732.610300000004</v>
      </c>
      <c r="Q71" s="27">
        <f t="shared" si="32"/>
        <v>-23611.020975427477</v>
      </c>
      <c r="R71" s="27">
        <f t="shared" si="33"/>
        <v>133146.22800439285</v>
      </c>
      <c r="S71" s="16">
        <f t="shared" si="34"/>
        <v>0.65</v>
      </c>
      <c r="T71" s="27">
        <f t="shared" si="35"/>
        <v>-15347.16363402786</v>
      </c>
      <c r="U71" s="27">
        <f t="shared" si="36"/>
        <v>86545.048202855352</v>
      </c>
    </row>
    <row r="72" spans="1:21">
      <c r="B72" s="22">
        <v>0.64880000000000004</v>
      </c>
      <c r="C72" s="26">
        <f t="shared" si="19"/>
        <v>102.88114285714286</v>
      </c>
      <c r="D72" s="29">
        <f t="shared" si="20"/>
        <v>0.72965349544072955</v>
      </c>
      <c r="E72" s="24">
        <f t="shared" si="21"/>
        <v>-2.9159862698703635E-5</v>
      </c>
      <c r="F72" s="17">
        <f t="shared" si="22"/>
        <v>1.1115406405172125E-3</v>
      </c>
      <c r="G72" s="25">
        <f t="shared" si="23"/>
        <v>6.7414270003665795E-4</v>
      </c>
      <c r="H72" s="25">
        <f t="shared" si="24"/>
        <v>8.3655480387909341E-5</v>
      </c>
      <c r="I72" s="25">
        <f t="shared" si="25"/>
        <v>-1.9721148398706969E-3</v>
      </c>
      <c r="J72" s="26">
        <f t="shared" si="26"/>
        <v>19.550138301063079</v>
      </c>
      <c r="K72" s="26">
        <f t="shared" si="27"/>
        <v>2.4260089312493709</v>
      </c>
      <c r="L72" s="26">
        <f t="shared" si="27"/>
        <v>-57.191330356250212</v>
      </c>
      <c r="M72" s="27">
        <f t="shared" si="28"/>
        <v>605.27228180091299</v>
      </c>
      <c r="N72" s="27">
        <f t="shared" si="29"/>
        <v>41.048071116739358</v>
      </c>
      <c r="O72" s="27">
        <f t="shared" si="30"/>
        <v>-967.67730962775374</v>
      </c>
      <c r="P72" s="9">
        <f t="shared" si="31"/>
        <v>-25709.997599999999</v>
      </c>
      <c r="Q72" s="27">
        <f t="shared" si="32"/>
        <v>-26031.354556710099</v>
      </c>
      <c r="R72" s="27">
        <f t="shared" si="33"/>
        <v>137182.82384945414</v>
      </c>
      <c r="S72" s="16">
        <f t="shared" si="34"/>
        <v>0.65</v>
      </c>
      <c r="T72" s="27">
        <f t="shared" si="35"/>
        <v>-16920.380461861565</v>
      </c>
      <c r="U72" s="27">
        <f t="shared" si="36"/>
        <v>89168.835502145201</v>
      </c>
    </row>
    <row r="73" spans="1:21">
      <c r="B73" s="22">
        <v>0.69869999999999999</v>
      </c>
      <c r="C73" s="26">
        <f t="shared" si="19"/>
        <v>110.79385714285715</v>
      </c>
      <c r="D73" s="29">
        <f t="shared" si="20"/>
        <v>0.78577203647416416</v>
      </c>
      <c r="E73" s="24">
        <f t="shared" si="21"/>
        <v>-2.7077313466321624E-5</v>
      </c>
      <c r="F73" s="17">
        <f t="shared" si="22"/>
        <v>8.1790119875134882E-4</v>
      </c>
      <c r="G73" s="25">
        <f t="shared" si="23"/>
        <v>4.1174149675652451E-4</v>
      </c>
      <c r="H73" s="25">
        <f t="shared" si="24"/>
        <v>-1.365741009364884E-4</v>
      </c>
      <c r="I73" s="25">
        <f t="shared" si="25"/>
        <v>-2.0455247003121628E-3</v>
      </c>
      <c r="J73" s="26">
        <f t="shared" si="26"/>
        <v>11.940503405939211</v>
      </c>
      <c r="K73" s="26">
        <f t="shared" si="27"/>
        <v>-3.9606489271581635</v>
      </c>
      <c r="L73" s="26">
        <f t="shared" si="27"/>
        <v>-59.320216309052725</v>
      </c>
      <c r="M73" s="27">
        <f t="shared" si="28"/>
        <v>369.67798544787797</v>
      </c>
      <c r="N73" s="27">
        <f t="shared" si="29"/>
        <v>-67.014179847516132</v>
      </c>
      <c r="O73" s="27">
        <f t="shared" si="30"/>
        <v>-1003.6980599491723</v>
      </c>
      <c r="P73" s="9">
        <f t="shared" si="31"/>
        <v>-27687.384900000005</v>
      </c>
      <c r="Q73" s="27">
        <f t="shared" si="32"/>
        <v>-28388.419154348816</v>
      </c>
      <c r="R73" s="27">
        <f t="shared" si="33"/>
        <v>140383.73831507986</v>
      </c>
      <c r="S73" s="16">
        <f t="shared" si="34"/>
        <v>0.65</v>
      </c>
      <c r="T73" s="27">
        <f t="shared" si="35"/>
        <v>-18452.472450326732</v>
      </c>
      <c r="U73" s="27">
        <f t="shared" si="36"/>
        <v>91249.429904801917</v>
      </c>
    </row>
    <row r="74" spans="1:21">
      <c r="B74" s="22">
        <v>0.74860000000000004</v>
      </c>
      <c r="C74" s="26">
        <f t="shared" si="19"/>
        <v>118.70657142857145</v>
      </c>
      <c r="D74" s="29">
        <f t="shared" si="20"/>
        <v>0.84189057750759899</v>
      </c>
      <c r="E74" s="24">
        <f t="shared" si="21"/>
        <v>-2.5272400372587383E-5</v>
      </c>
      <c r="F74" s="17">
        <f t="shared" si="22"/>
        <v>5.6340845253482108E-4</v>
      </c>
      <c r="G74" s="25">
        <f t="shared" si="23"/>
        <v>1.8432244694601034E-4</v>
      </c>
      <c r="H74" s="25">
        <f t="shared" si="24"/>
        <v>-3.2744366059888415E-4</v>
      </c>
      <c r="I74" s="25">
        <f t="shared" si="25"/>
        <v>-2.1091478868662948E-3</v>
      </c>
      <c r="J74" s="26">
        <f t="shared" si="26"/>
        <v>5.3453509614343</v>
      </c>
      <c r="K74" s="26">
        <f t="shared" si="27"/>
        <v>-9.4958661573676402</v>
      </c>
      <c r="L74" s="26">
        <f t="shared" si="27"/>
        <v>-61.16528871912255</v>
      </c>
      <c r="M74" s="27">
        <f t="shared" si="28"/>
        <v>165.49206576600594</v>
      </c>
      <c r="N74" s="27">
        <f t="shared" si="29"/>
        <v>-160.67005538266048</v>
      </c>
      <c r="O74" s="27">
        <f t="shared" si="30"/>
        <v>-1034.9166851275536</v>
      </c>
      <c r="P74" s="9">
        <f t="shared" si="31"/>
        <v>-29664.77220000001</v>
      </c>
      <c r="Q74" s="27">
        <f t="shared" si="32"/>
        <v>-30694.866874744217</v>
      </c>
      <c r="R74" s="27">
        <f t="shared" si="33"/>
        <v>142733.56722656349</v>
      </c>
      <c r="S74" s="16">
        <f t="shared" si="34"/>
        <v>0.65</v>
      </c>
      <c r="T74" s="27">
        <f t="shared" si="35"/>
        <v>-19951.663468583742</v>
      </c>
      <c r="U74" s="27">
        <f t="shared" si="36"/>
        <v>92776.818697266281</v>
      </c>
    </row>
    <row r="75" spans="1:21">
      <c r="B75" s="22">
        <v>0.8</v>
      </c>
      <c r="C75" s="26">
        <f t="shared" si="19"/>
        <v>126.85714285714288</v>
      </c>
      <c r="D75" s="29">
        <f t="shared" si="20"/>
        <v>0.89969604863221897</v>
      </c>
      <c r="E75" s="24">
        <f t="shared" si="21"/>
        <v>-2.3648648648648646E-5</v>
      </c>
      <c r="F75" s="17">
        <f t="shared" si="22"/>
        <v>3.3445945945945898E-4</v>
      </c>
      <c r="G75" s="25">
        <f t="shared" si="23"/>
        <v>-2.02702702702707E-5</v>
      </c>
      <c r="H75" s="25">
        <f t="shared" si="24"/>
        <v>-4.9915540540540579E-4</v>
      </c>
      <c r="I75" s="25">
        <f t="shared" si="25"/>
        <v>-2.1663851351351356E-3</v>
      </c>
      <c r="J75" s="26">
        <f t="shared" si="26"/>
        <v>-0.58783783783785026</v>
      </c>
      <c r="K75" s="26">
        <f t="shared" si="27"/>
        <v>-14.475506756756769</v>
      </c>
      <c r="L75" s="26">
        <f t="shared" si="27"/>
        <v>-62.825168918918934</v>
      </c>
      <c r="M75" s="27">
        <f t="shared" si="28"/>
        <v>-18.199459459459845</v>
      </c>
      <c r="N75" s="27">
        <f t="shared" si="29"/>
        <v>-244.92557432432454</v>
      </c>
      <c r="O75" s="27">
        <f t="shared" si="30"/>
        <v>-1063.0018581081085</v>
      </c>
      <c r="P75" s="9">
        <f t="shared" si="31"/>
        <v>-31701.600000000006</v>
      </c>
      <c r="Q75" s="27">
        <f t="shared" si="32"/>
        <v>-33027.7268918919</v>
      </c>
      <c r="R75" s="27">
        <f t="shared" si="33"/>
        <v>144252.00864611487</v>
      </c>
      <c r="S75" s="16">
        <f t="shared" si="34"/>
        <v>0.65</v>
      </c>
      <c r="T75" s="27">
        <f t="shared" ref="T75:T77" si="37">Q75*S75</f>
        <v>-21468.022479729734</v>
      </c>
      <c r="U75" s="27">
        <f t="shared" ref="U75:U77" si="38">R75*S75</f>
        <v>93763.805619974679</v>
      </c>
    </row>
    <row r="76" spans="1:21">
      <c r="B76" s="22">
        <v>0.85</v>
      </c>
      <c r="C76" s="26">
        <f t="shared" si="19"/>
        <v>134.78571428571431</v>
      </c>
      <c r="D76" s="29">
        <f t="shared" si="20"/>
        <v>0.95592705167173264</v>
      </c>
      <c r="E76" s="24">
        <f t="shared" si="21"/>
        <v>-2.2257551669316373E-5</v>
      </c>
      <c r="F76" s="17">
        <f t="shared" si="22"/>
        <v>1.3831478537360844E-4</v>
      </c>
      <c r="G76" s="25">
        <f t="shared" si="23"/>
        <v>-1.9554848966613715E-4</v>
      </c>
      <c r="H76" s="25">
        <f t="shared" si="24"/>
        <v>-6.4626391096979374E-4</v>
      </c>
      <c r="I76" s="25">
        <f t="shared" si="25"/>
        <v>-2.2154213036565981E-3</v>
      </c>
      <c r="J76" s="26">
        <f t="shared" si="26"/>
        <v>-5.6709062003179778</v>
      </c>
      <c r="K76" s="26">
        <f t="shared" si="27"/>
        <v>-18.74165341812402</v>
      </c>
      <c r="L76" s="26">
        <f t="shared" si="27"/>
        <v>-64.247217806041348</v>
      </c>
      <c r="M76" s="27">
        <f t="shared" si="28"/>
        <v>-175.5712559618446</v>
      </c>
      <c r="N76" s="27">
        <f t="shared" si="29"/>
        <v>-317.10877583465845</v>
      </c>
      <c r="O76" s="27">
        <f t="shared" si="30"/>
        <v>-1087.0629252782198</v>
      </c>
      <c r="P76" s="9">
        <f t="shared" si="31"/>
        <v>-33682.950000000004</v>
      </c>
      <c r="Q76" s="27">
        <f t="shared" si="32"/>
        <v>-35262.692957074731</v>
      </c>
      <c r="R76" s="27">
        <f t="shared" si="33"/>
        <v>144841.71356031401</v>
      </c>
      <c r="S76" s="16">
        <f t="shared" si="34"/>
        <v>0.65</v>
      </c>
      <c r="T76" s="27">
        <f t="shared" si="37"/>
        <v>-22920.750422098576</v>
      </c>
      <c r="U76" s="27">
        <f t="shared" si="38"/>
        <v>94147.113814204102</v>
      </c>
    </row>
    <row r="77" spans="1:21" s="10" customFormat="1">
      <c r="A77" s="45"/>
      <c r="B77" s="39">
        <v>0.9</v>
      </c>
      <c r="C77" s="40">
        <f t="shared" si="19"/>
        <v>142.71428571428572</v>
      </c>
      <c r="D77" s="31">
        <f t="shared" si="20"/>
        <v>1.0121580547112463</v>
      </c>
      <c r="E77" s="41">
        <f t="shared" si="21"/>
        <v>-2.1021021021021022E-5</v>
      </c>
      <c r="F77" s="42">
        <f t="shared" si="22"/>
        <v>-3.6036036036036207E-5</v>
      </c>
      <c r="G77" s="43">
        <f t="shared" si="23"/>
        <v>-3.5135135135135151E-4</v>
      </c>
      <c r="H77" s="43">
        <f t="shared" si="24"/>
        <v>-7.7702702702702722E-4</v>
      </c>
      <c r="I77" s="43">
        <f t="shared" si="25"/>
        <v>-2.2590090090090094E-3</v>
      </c>
      <c r="J77" s="40">
        <f t="shared" si="26"/>
        <v>-10.189189189189193</v>
      </c>
      <c r="K77" s="40">
        <f t="shared" si="27"/>
        <v>-22.53378378378379</v>
      </c>
      <c r="L77" s="40">
        <f t="shared" si="27"/>
        <v>-65.511261261261268</v>
      </c>
      <c r="M77" s="44">
        <f t="shared" si="28"/>
        <v>-315.45729729729743</v>
      </c>
      <c r="N77" s="44">
        <f t="shared" si="29"/>
        <v>-381.27162162162176</v>
      </c>
      <c r="O77" s="44">
        <f t="shared" si="30"/>
        <v>-1108.4505405405407</v>
      </c>
      <c r="P77" s="45">
        <f t="shared" si="31"/>
        <v>-35664.300000000003</v>
      </c>
      <c r="Q77" s="44">
        <f t="shared" si="32"/>
        <v>-37469.479459459464</v>
      </c>
      <c r="R77" s="44">
        <f t="shared" si="33"/>
        <v>144549.35324099098</v>
      </c>
      <c r="S77" s="46">
        <f t="shared" si="34"/>
        <v>0.65</v>
      </c>
      <c r="T77" s="44">
        <f t="shared" si="37"/>
        <v>-24355.161648648653</v>
      </c>
      <c r="U77" s="44">
        <f t="shared" si="38"/>
        <v>93957.07960664414</v>
      </c>
    </row>
    <row r="78" spans="1:21">
      <c r="B78" s="22"/>
      <c r="C78" s="26"/>
      <c r="D78" s="29"/>
      <c r="E78" s="24"/>
      <c r="F78" s="17"/>
      <c r="G78" s="25"/>
      <c r="H78" s="25"/>
      <c r="I78" s="25"/>
      <c r="J78" s="26"/>
      <c r="K78" s="26"/>
      <c r="L78" s="26"/>
      <c r="M78" s="27"/>
      <c r="N78" s="27"/>
      <c r="O78" s="27"/>
      <c r="Q78" s="27"/>
      <c r="R78" s="27"/>
    </row>
    <row r="79" spans="1:21">
      <c r="B79" s="11" t="s">
        <v>7</v>
      </c>
      <c r="D79" s="33">
        <v>6.0000000000000001E-3</v>
      </c>
    </row>
    <row r="80" spans="1:21">
      <c r="B80" s="9" t="s">
        <v>8</v>
      </c>
      <c r="C80" s="9" t="s">
        <v>15</v>
      </c>
      <c r="D80" s="26">
        <f>D79*($D$11-2*$D$12)*$D$13</f>
        <v>46.44</v>
      </c>
    </row>
    <row r="81" spans="1:21">
      <c r="B81" s="9" t="s">
        <v>9</v>
      </c>
      <c r="C81" s="9" t="s">
        <v>15</v>
      </c>
      <c r="D81" s="26">
        <f>D79*$D$10/2*$D$12</f>
        <v>12.69</v>
      </c>
    </row>
    <row r="82" spans="1:21">
      <c r="B82" s="9" t="s">
        <v>10</v>
      </c>
      <c r="C82" s="9" t="s">
        <v>15</v>
      </c>
      <c r="D82" s="26">
        <f>D81</f>
        <v>12.69</v>
      </c>
    </row>
    <row r="84" spans="1:21">
      <c r="B84" s="18" t="s">
        <v>38</v>
      </c>
      <c r="C84" s="18" t="s">
        <v>37</v>
      </c>
      <c r="D84" s="18" t="s">
        <v>47</v>
      </c>
      <c r="E84" s="19" t="s">
        <v>19</v>
      </c>
      <c r="F84" s="19" t="s">
        <v>20</v>
      </c>
      <c r="G84" s="19" t="s">
        <v>21</v>
      </c>
      <c r="H84" s="19" t="s">
        <v>22</v>
      </c>
      <c r="I84" s="19" t="s">
        <v>23</v>
      </c>
      <c r="J84" s="19" t="s">
        <v>24</v>
      </c>
      <c r="K84" s="19" t="s">
        <v>25</v>
      </c>
      <c r="L84" s="19" t="s">
        <v>26</v>
      </c>
      <c r="M84" s="19" t="s">
        <v>27</v>
      </c>
      <c r="N84" s="19" t="s">
        <v>28</v>
      </c>
      <c r="O84" s="19" t="s">
        <v>29</v>
      </c>
      <c r="P84" s="19" t="s">
        <v>30</v>
      </c>
      <c r="Q84" s="19" t="s">
        <v>31</v>
      </c>
      <c r="R84" s="19" t="s">
        <v>32</v>
      </c>
      <c r="S84" s="19" t="s">
        <v>33</v>
      </c>
      <c r="T84" s="19"/>
      <c r="U84" s="19"/>
    </row>
    <row r="85" spans="1:21">
      <c r="B85" s="20"/>
      <c r="C85" s="21" t="s">
        <v>14</v>
      </c>
      <c r="D85" s="21"/>
      <c r="E85" s="21" t="s">
        <v>39</v>
      </c>
      <c r="F85" s="20"/>
      <c r="G85" s="20"/>
      <c r="H85" s="20"/>
      <c r="I85" s="20"/>
      <c r="J85" s="21" t="s">
        <v>13</v>
      </c>
      <c r="K85" s="21" t="s">
        <v>13</v>
      </c>
      <c r="L85" s="21" t="s">
        <v>13</v>
      </c>
      <c r="M85" s="21" t="s">
        <v>41</v>
      </c>
      <c r="N85" s="21" t="s">
        <v>41</v>
      </c>
      <c r="O85" s="21" t="s">
        <v>41</v>
      </c>
      <c r="P85" s="21" t="s">
        <v>41</v>
      </c>
      <c r="Q85" s="21" t="s">
        <v>41</v>
      </c>
      <c r="R85" s="21" t="s">
        <v>42</v>
      </c>
      <c r="S85" s="21"/>
      <c r="T85" s="21"/>
      <c r="U85" s="21"/>
    </row>
    <row r="86" spans="1:21">
      <c r="A86" s="15" t="s">
        <v>36</v>
      </c>
      <c r="B86" s="22"/>
      <c r="C86" s="23"/>
      <c r="D86" s="23"/>
      <c r="E86" s="24"/>
      <c r="F86" s="17"/>
      <c r="G86" s="25"/>
      <c r="H86" s="25"/>
      <c r="I86" s="25"/>
      <c r="J86" s="26"/>
      <c r="K86" s="26"/>
      <c r="L86" s="26"/>
      <c r="M86" s="27"/>
      <c r="N86" s="27"/>
      <c r="O86" s="27"/>
      <c r="P86" s="27"/>
      <c r="Q86" s="27"/>
      <c r="R86" s="27"/>
      <c r="S86" s="16"/>
      <c r="T86" s="27"/>
      <c r="U86" s="27"/>
    </row>
    <row r="87" spans="1:21">
      <c r="B87" s="22">
        <v>1.0000000000000001E-5</v>
      </c>
      <c r="C87" s="23">
        <f t="shared" ref="C87:C105" si="39">B87/$D$15*$D$13</f>
        <v>4.285714285714286E-4</v>
      </c>
      <c r="D87" s="29">
        <f>C87/$D$10</f>
        <v>3.0395136778115506E-6</v>
      </c>
      <c r="E87" s="24">
        <f t="shared" ref="E87:E105" si="40">-0.003/C87</f>
        <v>-7</v>
      </c>
      <c r="F87" s="17">
        <f t="shared" ref="F87:F105" si="41">E87*(C87-$D$10)</f>
        <v>986.99700000000007</v>
      </c>
      <c r="G87" s="25">
        <f t="shared" ref="G87:G105" si="42">E87*(C87-$D$20)</f>
        <v>104.997</v>
      </c>
      <c r="H87" s="25">
        <f t="shared" ref="H87:H105" si="43">E87*(C87-$D$21)</f>
        <v>246.74700000000001</v>
      </c>
      <c r="I87" s="25">
        <f t="shared" ref="I87:I105" si="44">E87*(C87-$D$22)</f>
        <v>740.24699999999996</v>
      </c>
      <c r="J87" s="26">
        <f t="shared" ref="J87:J105" si="45">SIGN(G87)*MIN($D$8*ABS(G87),$D$7)</f>
        <v>80</v>
      </c>
      <c r="K87" s="26">
        <f t="shared" ref="K87:K105" si="46">SIGN(H87)*MIN($D$8*ABS(H87),$D$7)</f>
        <v>80</v>
      </c>
      <c r="L87" s="26">
        <f t="shared" ref="L87:L105" si="47">SIGN(I87)*MIN($D$8*ABS(I87),$D$7)</f>
        <v>80</v>
      </c>
      <c r="M87" s="27">
        <f t="shared" ref="M87:M105" si="48">$D$80*J87</f>
        <v>3715.2</v>
      </c>
      <c r="N87" s="27">
        <f t="shared" ref="N87:N105" si="49">$D$81*K87*2</f>
        <v>2030.3999999999999</v>
      </c>
      <c r="O87" s="27">
        <f t="shared" ref="O87:O105" si="50">$D$82*L87*2</f>
        <v>2030.3999999999999</v>
      </c>
      <c r="P87" s="27">
        <f t="shared" ref="P87:P105" si="51">$D$15*C87*$D$11*(-0.85*$D$6)</f>
        <v>-0.56763000000000008</v>
      </c>
      <c r="Q87" s="27">
        <f t="shared" ref="Q87:Q105" si="52">SUM(M87:P87)</f>
        <v>7775.4323699999995</v>
      </c>
      <c r="R87" s="27">
        <f t="shared" ref="R87:R105" si="53">(P87*($D$18-$D$15*C87/2)+M87*($D$18-$D$20)+N87*($D$18-$D$21)+O87*($D$18-$D$22))/12</f>
        <v>-2.0805145296241485</v>
      </c>
      <c r="S87" s="16">
        <f t="shared" ref="S87:S105" si="54">MAX(0.65,MIN(0.9,0.65+(F87-0.002)*250/3))</f>
        <v>0.9</v>
      </c>
      <c r="T87" s="27">
        <f t="shared" ref="T87:T105" si="55">S87*Q87</f>
        <v>6997.8891329999997</v>
      </c>
      <c r="U87" s="27">
        <f t="shared" ref="U87:U105" si="56">S87*R87</f>
        <v>-1.8724630766617336</v>
      </c>
    </row>
    <row r="88" spans="1:21">
      <c r="B88" s="22">
        <v>0.05</v>
      </c>
      <c r="C88" s="23">
        <f t="shared" si="39"/>
        <v>2.1428571428571432</v>
      </c>
      <c r="D88" s="29">
        <f t="shared" ref="D88:D104" si="57">C88/$D$10</f>
        <v>1.5197568389057753E-2</v>
      </c>
      <c r="E88" s="24">
        <f t="shared" si="40"/>
        <v>-1.3999999999999998E-3</v>
      </c>
      <c r="F88" s="17">
        <f t="shared" si="41"/>
        <v>0.19439999999999996</v>
      </c>
      <c r="G88" s="25">
        <f t="shared" si="42"/>
        <v>1.7999999999999999E-2</v>
      </c>
      <c r="H88" s="25">
        <f t="shared" si="43"/>
        <v>4.6349999999999988E-2</v>
      </c>
      <c r="I88" s="25">
        <f t="shared" si="44"/>
        <v>0.14504999999999998</v>
      </c>
      <c r="J88" s="26">
        <f t="shared" si="45"/>
        <v>80</v>
      </c>
      <c r="K88" s="26">
        <f t="shared" si="46"/>
        <v>80</v>
      </c>
      <c r="L88" s="26">
        <f t="shared" si="47"/>
        <v>80</v>
      </c>
      <c r="M88" s="27">
        <f t="shared" si="48"/>
        <v>3715.2</v>
      </c>
      <c r="N88" s="27">
        <f t="shared" si="49"/>
        <v>2030.3999999999999</v>
      </c>
      <c r="O88" s="27">
        <f t="shared" si="50"/>
        <v>2030.3999999999999</v>
      </c>
      <c r="P88" s="27">
        <f t="shared" si="51"/>
        <v>-2838.1500000000005</v>
      </c>
      <c r="Q88" s="27">
        <f t="shared" si="52"/>
        <v>4937.8499999999985</v>
      </c>
      <c r="R88" s="27">
        <f t="shared" si="53"/>
        <v>-10225.223750000001</v>
      </c>
      <c r="S88" s="16">
        <f t="shared" si="54"/>
        <v>0.9</v>
      </c>
      <c r="T88" s="27">
        <f t="shared" si="55"/>
        <v>4444.0649999999987</v>
      </c>
      <c r="U88" s="27">
        <f t="shared" si="56"/>
        <v>-9202.7013750000006</v>
      </c>
    </row>
    <row r="89" spans="1:21">
      <c r="B89" s="22">
        <v>0.1</v>
      </c>
      <c r="C89" s="23">
        <f t="shared" si="39"/>
        <v>4.2857142857142865</v>
      </c>
      <c r="D89" s="29">
        <f t="shared" si="57"/>
        <v>3.0395136778115506E-2</v>
      </c>
      <c r="E89" s="24">
        <f t="shared" si="40"/>
        <v>-6.9999999999999988E-4</v>
      </c>
      <c r="F89" s="17">
        <f t="shared" si="41"/>
        <v>9.5699999999999993E-2</v>
      </c>
      <c r="G89" s="25">
        <f t="shared" si="42"/>
        <v>7.499999999999998E-3</v>
      </c>
      <c r="H89" s="25">
        <f t="shared" si="43"/>
        <v>2.1674999999999996E-2</v>
      </c>
      <c r="I89" s="25">
        <f t="shared" si="44"/>
        <v>7.1024999999999991E-2</v>
      </c>
      <c r="J89" s="26">
        <f t="shared" si="45"/>
        <v>80</v>
      </c>
      <c r="K89" s="26">
        <f t="shared" si="46"/>
        <v>80</v>
      </c>
      <c r="L89" s="26">
        <f t="shared" si="47"/>
        <v>80</v>
      </c>
      <c r="M89" s="27">
        <f t="shared" si="48"/>
        <v>3715.2</v>
      </c>
      <c r="N89" s="27">
        <f t="shared" si="49"/>
        <v>2030.3999999999999</v>
      </c>
      <c r="O89" s="27">
        <f t="shared" si="50"/>
        <v>2030.3999999999999</v>
      </c>
      <c r="P89" s="27">
        <f t="shared" si="51"/>
        <v>-5676.3000000000011</v>
      </c>
      <c r="Q89" s="27">
        <f t="shared" si="52"/>
        <v>2099.699999999998</v>
      </c>
      <c r="R89" s="27">
        <f t="shared" si="53"/>
        <v>-20095.678750000003</v>
      </c>
      <c r="S89" s="16">
        <f t="shared" si="54"/>
        <v>0.9</v>
      </c>
      <c r="T89" s="27">
        <f t="shared" si="55"/>
        <v>1889.7299999999982</v>
      </c>
      <c r="U89" s="27">
        <f t="shared" si="56"/>
        <v>-18086.110875000002</v>
      </c>
    </row>
    <row r="90" spans="1:21">
      <c r="B90" s="22">
        <v>0.15</v>
      </c>
      <c r="C90" s="23">
        <f t="shared" si="39"/>
        <v>6.4285714285714288</v>
      </c>
      <c r="D90" s="29">
        <f t="shared" si="57"/>
        <v>4.5592705167173252E-2</v>
      </c>
      <c r="E90" s="24">
        <f t="shared" si="40"/>
        <v>-4.6666666666666666E-4</v>
      </c>
      <c r="F90" s="17">
        <f t="shared" si="41"/>
        <v>6.2800000000000009E-2</v>
      </c>
      <c r="G90" s="25">
        <f t="shared" si="42"/>
        <v>4.0000000000000001E-3</v>
      </c>
      <c r="H90" s="25">
        <f t="shared" si="43"/>
        <v>1.3449999999999998E-2</v>
      </c>
      <c r="I90" s="25">
        <f t="shared" si="44"/>
        <v>4.6349999999999995E-2</v>
      </c>
      <c r="J90" s="26">
        <f t="shared" si="45"/>
        <v>80</v>
      </c>
      <c r="K90" s="26">
        <f t="shared" si="46"/>
        <v>80</v>
      </c>
      <c r="L90" s="26">
        <f t="shared" si="47"/>
        <v>80</v>
      </c>
      <c r="M90" s="27">
        <f t="shared" si="48"/>
        <v>3715.2</v>
      </c>
      <c r="N90" s="27">
        <f t="shared" si="49"/>
        <v>2030.3999999999999</v>
      </c>
      <c r="O90" s="27">
        <f t="shared" si="50"/>
        <v>2030.3999999999999</v>
      </c>
      <c r="P90" s="27">
        <f t="shared" si="51"/>
        <v>-8514.4500000000007</v>
      </c>
      <c r="Q90" s="27">
        <f t="shared" si="52"/>
        <v>-738.45000000000164</v>
      </c>
      <c r="R90" s="27">
        <f t="shared" si="53"/>
        <v>-29611.365000000005</v>
      </c>
      <c r="S90" s="16">
        <f t="shared" si="54"/>
        <v>0.9</v>
      </c>
      <c r="T90" s="27">
        <f t="shared" si="55"/>
        <v>-664.6050000000015</v>
      </c>
      <c r="U90" s="27">
        <f t="shared" si="56"/>
        <v>-26650.228500000005</v>
      </c>
    </row>
    <row r="91" spans="1:21">
      <c r="B91" s="22">
        <v>0.2</v>
      </c>
      <c r="C91" s="23">
        <f t="shared" si="39"/>
        <v>8.571428571428573</v>
      </c>
      <c r="D91" s="29">
        <f t="shared" si="57"/>
        <v>6.0790273556231011E-2</v>
      </c>
      <c r="E91" s="24">
        <f t="shared" si="40"/>
        <v>-3.4999999999999994E-4</v>
      </c>
      <c r="F91" s="17">
        <f t="shared" si="41"/>
        <v>4.6349999999999988E-2</v>
      </c>
      <c r="G91" s="25">
        <f t="shared" si="42"/>
        <v>2.249999999999999E-3</v>
      </c>
      <c r="H91" s="25">
        <f t="shared" si="43"/>
        <v>9.3374999999999986E-3</v>
      </c>
      <c r="I91" s="25">
        <f t="shared" si="44"/>
        <v>3.4012499999999994E-2</v>
      </c>
      <c r="J91" s="26">
        <f t="shared" si="45"/>
        <v>65.249999999999972</v>
      </c>
      <c r="K91" s="26">
        <f t="shared" si="46"/>
        <v>80</v>
      </c>
      <c r="L91" s="26">
        <f t="shared" si="47"/>
        <v>80</v>
      </c>
      <c r="M91" s="27">
        <f t="shared" si="48"/>
        <v>3030.2099999999987</v>
      </c>
      <c r="N91" s="27">
        <f t="shared" si="49"/>
        <v>2030.3999999999999</v>
      </c>
      <c r="O91" s="27">
        <f t="shared" si="50"/>
        <v>2030.3999999999999</v>
      </c>
      <c r="P91" s="27">
        <f t="shared" si="51"/>
        <v>-11352.600000000002</v>
      </c>
      <c r="Q91" s="27">
        <f t="shared" si="52"/>
        <v>-4261.5900000000038</v>
      </c>
      <c r="R91" s="27">
        <f t="shared" si="53"/>
        <v>-40426.723625000006</v>
      </c>
      <c r="S91" s="16">
        <f t="shared" si="54"/>
        <v>0.9</v>
      </c>
      <c r="T91" s="27">
        <f t="shared" si="55"/>
        <v>-3835.4310000000037</v>
      </c>
      <c r="U91" s="27">
        <f t="shared" si="56"/>
        <v>-36384.051262500005</v>
      </c>
    </row>
    <row r="92" spans="1:21">
      <c r="B92" s="22">
        <v>0.25</v>
      </c>
      <c r="C92" s="23">
        <f t="shared" si="39"/>
        <v>10.714285714285715</v>
      </c>
      <c r="D92" s="29">
        <f t="shared" si="57"/>
        <v>7.5987841945288764E-2</v>
      </c>
      <c r="E92" s="24">
        <f t="shared" si="40"/>
        <v>-2.7999999999999998E-4</v>
      </c>
      <c r="F92" s="17">
        <f t="shared" si="41"/>
        <v>3.6479999999999992E-2</v>
      </c>
      <c r="G92" s="25">
        <f t="shared" si="42"/>
        <v>1.1999999999999997E-3</v>
      </c>
      <c r="H92" s="25">
        <f t="shared" si="43"/>
        <v>6.8699999999999994E-3</v>
      </c>
      <c r="I92" s="25">
        <f t="shared" si="44"/>
        <v>2.6609999999999995E-2</v>
      </c>
      <c r="J92" s="26">
        <f t="shared" si="45"/>
        <v>34.79999999999999</v>
      </c>
      <c r="K92" s="26">
        <f t="shared" si="46"/>
        <v>80</v>
      </c>
      <c r="L92" s="26">
        <f t="shared" si="47"/>
        <v>80</v>
      </c>
      <c r="M92" s="27">
        <f t="shared" si="48"/>
        <v>1616.1119999999994</v>
      </c>
      <c r="N92" s="27">
        <f t="shared" si="49"/>
        <v>2030.3999999999999</v>
      </c>
      <c r="O92" s="27">
        <f t="shared" si="50"/>
        <v>2030.3999999999999</v>
      </c>
      <c r="P92" s="27">
        <f t="shared" si="51"/>
        <v>-14190.75</v>
      </c>
      <c r="Q92" s="27">
        <f t="shared" si="52"/>
        <v>-8513.8379999999997</v>
      </c>
      <c r="R92" s="27">
        <f t="shared" si="53"/>
        <v>-52648.311850000006</v>
      </c>
      <c r="S92" s="16">
        <f t="shared" si="54"/>
        <v>0.9</v>
      </c>
      <c r="T92" s="27">
        <f t="shared" si="55"/>
        <v>-7662.4542000000001</v>
      </c>
      <c r="U92" s="27">
        <f t="shared" si="56"/>
        <v>-47383.480665000003</v>
      </c>
    </row>
    <row r="93" spans="1:21">
      <c r="B93" s="22">
        <v>0.3</v>
      </c>
      <c r="C93" s="23">
        <f t="shared" si="39"/>
        <v>12.857142857142858</v>
      </c>
      <c r="D93" s="29">
        <f t="shared" si="57"/>
        <v>9.1185410334346503E-2</v>
      </c>
      <c r="E93" s="24">
        <f t="shared" si="40"/>
        <v>-2.3333333333333333E-4</v>
      </c>
      <c r="F93" s="17">
        <f t="shared" si="41"/>
        <v>2.9899999999999999E-2</v>
      </c>
      <c r="G93" s="25">
        <f t="shared" si="42"/>
        <v>4.999999999999999E-4</v>
      </c>
      <c r="H93" s="25">
        <f t="shared" si="43"/>
        <v>5.2249999999999996E-3</v>
      </c>
      <c r="I93" s="25">
        <f t="shared" si="44"/>
        <v>2.1675E-2</v>
      </c>
      <c r="J93" s="26">
        <f t="shared" si="45"/>
        <v>14.499999999999996</v>
      </c>
      <c r="K93" s="26">
        <f t="shared" si="46"/>
        <v>80</v>
      </c>
      <c r="L93" s="26">
        <f t="shared" si="47"/>
        <v>80</v>
      </c>
      <c r="M93" s="27">
        <f t="shared" si="48"/>
        <v>673.37999999999977</v>
      </c>
      <c r="N93" s="27">
        <f t="shared" si="49"/>
        <v>2030.3999999999999</v>
      </c>
      <c r="O93" s="27">
        <f t="shared" si="50"/>
        <v>2030.3999999999999</v>
      </c>
      <c r="P93" s="27">
        <f t="shared" si="51"/>
        <v>-17028.900000000001</v>
      </c>
      <c r="Q93" s="27">
        <f t="shared" si="52"/>
        <v>-12294.720000000001</v>
      </c>
      <c r="R93" s="27">
        <f t="shared" si="53"/>
        <v>-63376.651500000007</v>
      </c>
      <c r="S93" s="16">
        <f t="shared" si="54"/>
        <v>0.9</v>
      </c>
      <c r="T93" s="27">
        <f t="shared" si="55"/>
        <v>-11065.248000000001</v>
      </c>
      <c r="U93" s="27">
        <f t="shared" si="56"/>
        <v>-57038.986350000006</v>
      </c>
    </row>
    <row r="94" spans="1:21">
      <c r="B94" s="22">
        <v>0.35</v>
      </c>
      <c r="C94" s="23">
        <f t="shared" si="39"/>
        <v>15</v>
      </c>
      <c r="D94" s="29">
        <f t="shared" si="57"/>
        <v>0.10638297872340426</v>
      </c>
      <c r="E94" s="24">
        <f t="shared" si="40"/>
        <v>-2.0000000000000001E-4</v>
      </c>
      <c r="F94" s="17">
        <f t="shared" si="41"/>
        <v>2.52E-2</v>
      </c>
      <c r="G94" s="25">
        <f t="shared" si="42"/>
        <v>0</v>
      </c>
      <c r="H94" s="25">
        <f t="shared" si="43"/>
        <v>4.0499999999999998E-3</v>
      </c>
      <c r="I94" s="25">
        <f t="shared" si="44"/>
        <v>1.8149999999999999E-2</v>
      </c>
      <c r="J94" s="26">
        <f t="shared" si="45"/>
        <v>0</v>
      </c>
      <c r="K94" s="26">
        <f t="shared" si="46"/>
        <v>80</v>
      </c>
      <c r="L94" s="26">
        <f t="shared" si="47"/>
        <v>80</v>
      </c>
      <c r="M94" s="27">
        <f t="shared" si="48"/>
        <v>0</v>
      </c>
      <c r="N94" s="27">
        <f t="shared" si="49"/>
        <v>2030.3999999999999</v>
      </c>
      <c r="O94" s="27">
        <f t="shared" si="50"/>
        <v>2030.3999999999999</v>
      </c>
      <c r="P94" s="27">
        <f t="shared" si="51"/>
        <v>-19867.05</v>
      </c>
      <c r="Q94" s="27">
        <f t="shared" si="52"/>
        <v>-15806.25</v>
      </c>
      <c r="R94" s="27">
        <f t="shared" si="53"/>
        <v>-73099.662499999991</v>
      </c>
      <c r="S94" s="16">
        <f t="shared" si="54"/>
        <v>0.9</v>
      </c>
      <c r="T94" s="27">
        <f t="shared" si="55"/>
        <v>-14225.625</v>
      </c>
      <c r="U94" s="27">
        <f t="shared" si="56"/>
        <v>-65789.696249999994</v>
      </c>
    </row>
    <row r="95" spans="1:21">
      <c r="B95" s="22">
        <v>0.4</v>
      </c>
      <c r="C95" s="23">
        <f t="shared" si="39"/>
        <v>17.142857142857146</v>
      </c>
      <c r="D95" s="29">
        <f t="shared" si="57"/>
        <v>0.12158054711246202</v>
      </c>
      <c r="E95" s="24">
        <f t="shared" si="40"/>
        <v>-1.7499999999999997E-4</v>
      </c>
      <c r="F95" s="17">
        <f t="shared" si="41"/>
        <v>2.1674999999999996E-2</v>
      </c>
      <c r="G95" s="25">
        <f t="shared" si="42"/>
        <v>-3.750000000000005E-4</v>
      </c>
      <c r="H95" s="25">
        <f t="shared" si="43"/>
        <v>3.1687499999999988E-3</v>
      </c>
      <c r="I95" s="25">
        <f t="shared" si="44"/>
        <v>1.5506249999999997E-2</v>
      </c>
      <c r="J95" s="26">
        <f t="shared" si="45"/>
        <v>-10.875000000000014</v>
      </c>
      <c r="K95" s="26">
        <f t="shared" si="46"/>
        <v>80</v>
      </c>
      <c r="L95" s="26">
        <f t="shared" si="47"/>
        <v>80</v>
      </c>
      <c r="M95" s="27">
        <f t="shared" si="48"/>
        <v>-505.03500000000065</v>
      </c>
      <c r="N95" s="27">
        <f t="shared" si="49"/>
        <v>2030.3999999999999</v>
      </c>
      <c r="O95" s="27">
        <f t="shared" si="50"/>
        <v>2030.3999999999999</v>
      </c>
      <c r="P95" s="27">
        <f t="shared" si="51"/>
        <v>-22705.200000000004</v>
      </c>
      <c r="Q95" s="27">
        <f t="shared" si="52"/>
        <v>-19149.435000000005</v>
      </c>
      <c r="R95" s="27">
        <f t="shared" si="53"/>
        <v>-82061.30481250002</v>
      </c>
      <c r="S95" s="16">
        <f t="shared" si="54"/>
        <v>0.9</v>
      </c>
      <c r="T95" s="27">
        <f t="shared" si="55"/>
        <v>-17234.491500000004</v>
      </c>
      <c r="U95" s="27">
        <f t="shared" si="56"/>
        <v>-73855.174331250018</v>
      </c>
    </row>
    <row r="96" spans="1:21">
      <c r="B96" s="22">
        <v>0.45</v>
      </c>
      <c r="C96" s="23">
        <f t="shared" si="39"/>
        <v>19.285714285714288</v>
      </c>
      <c r="D96" s="29">
        <f t="shared" si="57"/>
        <v>0.13677811550151978</v>
      </c>
      <c r="E96" s="24">
        <f t="shared" si="40"/>
        <v>-1.5555555555555554E-4</v>
      </c>
      <c r="F96" s="17">
        <f t="shared" si="41"/>
        <v>1.893333333333333E-2</v>
      </c>
      <c r="G96" s="25">
        <f t="shared" si="42"/>
        <v>-6.6666666666666697E-4</v>
      </c>
      <c r="H96" s="25">
        <f t="shared" si="43"/>
        <v>2.4833333333333326E-3</v>
      </c>
      <c r="I96" s="25">
        <f t="shared" si="44"/>
        <v>1.3449999999999997E-2</v>
      </c>
      <c r="J96" s="26">
        <f t="shared" si="45"/>
        <v>-19.333333333333343</v>
      </c>
      <c r="K96" s="26">
        <f t="shared" si="46"/>
        <v>72.016666666666652</v>
      </c>
      <c r="L96" s="26">
        <f t="shared" si="47"/>
        <v>80</v>
      </c>
      <c r="M96" s="27">
        <f t="shared" si="48"/>
        <v>-897.84000000000037</v>
      </c>
      <c r="N96" s="27">
        <f t="shared" si="49"/>
        <v>1827.7829999999994</v>
      </c>
      <c r="O96" s="27">
        <f t="shared" si="50"/>
        <v>2030.3999999999999</v>
      </c>
      <c r="P96" s="27">
        <f t="shared" si="51"/>
        <v>-25543.350000000006</v>
      </c>
      <c r="Q96" s="27">
        <f t="shared" si="52"/>
        <v>-22583.007000000005</v>
      </c>
      <c r="R96" s="27">
        <f t="shared" si="53"/>
        <v>-90544.571900000024</v>
      </c>
      <c r="S96" s="16">
        <f t="shared" si="54"/>
        <v>0.9</v>
      </c>
      <c r="T96" s="27">
        <f t="shared" si="55"/>
        <v>-20324.706300000005</v>
      </c>
      <c r="U96" s="27">
        <f t="shared" si="56"/>
        <v>-81490.114710000023</v>
      </c>
    </row>
    <row r="97" spans="1:21">
      <c r="B97" s="22">
        <v>0.5</v>
      </c>
      <c r="C97" s="23">
        <f t="shared" si="39"/>
        <v>21.428571428571431</v>
      </c>
      <c r="D97" s="29">
        <f t="shared" si="57"/>
        <v>0.15197568389057753</v>
      </c>
      <c r="E97" s="24">
        <f t="shared" si="40"/>
        <v>-1.3999999999999999E-4</v>
      </c>
      <c r="F97" s="17">
        <f t="shared" si="41"/>
        <v>1.6739999999999998E-2</v>
      </c>
      <c r="G97" s="25">
        <f t="shared" si="42"/>
        <v>-9.0000000000000019E-4</v>
      </c>
      <c r="H97" s="25">
        <f t="shared" si="43"/>
        <v>1.9349999999999997E-3</v>
      </c>
      <c r="I97" s="25">
        <f t="shared" si="44"/>
        <v>1.1805E-2</v>
      </c>
      <c r="J97" s="26">
        <f t="shared" si="45"/>
        <v>-26.100000000000005</v>
      </c>
      <c r="K97" s="26">
        <f t="shared" si="46"/>
        <v>56.114999999999988</v>
      </c>
      <c r="L97" s="26">
        <f t="shared" si="47"/>
        <v>80</v>
      </c>
      <c r="M97" s="27">
        <f t="shared" si="48"/>
        <v>-1212.0840000000001</v>
      </c>
      <c r="N97" s="27">
        <f t="shared" si="49"/>
        <v>1424.1986999999997</v>
      </c>
      <c r="O97" s="27">
        <f t="shared" si="50"/>
        <v>2030.3999999999999</v>
      </c>
      <c r="P97" s="27">
        <f t="shared" si="51"/>
        <v>-28381.5</v>
      </c>
      <c r="Q97" s="27">
        <f t="shared" si="52"/>
        <v>-26138.9853</v>
      </c>
      <c r="R97" s="27">
        <f t="shared" si="53"/>
        <v>-98629.583135000008</v>
      </c>
      <c r="S97" s="16">
        <f t="shared" si="54"/>
        <v>0.9</v>
      </c>
      <c r="T97" s="27">
        <f t="shared" si="55"/>
        <v>-23525.086770000002</v>
      </c>
      <c r="U97" s="27">
        <f t="shared" si="56"/>
        <v>-88766.624821500009</v>
      </c>
    </row>
    <row r="98" spans="1:21">
      <c r="B98" s="22">
        <v>0.55000000000000004</v>
      </c>
      <c r="C98" s="23">
        <f t="shared" si="39"/>
        <v>23.571428571428573</v>
      </c>
      <c r="D98" s="29">
        <f t="shared" si="57"/>
        <v>0.16717325227963528</v>
      </c>
      <c r="E98" s="24">
        <f t="shared" si="40"/>
        <v>-1.2727272727272725E-4</v>
      </c>
      <c r="F98" s="17">
        <f t="shared" si="41"/>
        <v>1.4945454545454543E-2</v>
      </c>
      <c r="G98" s="25">
        <f t="shared" si="42"/>
        <v>-1.090909090909091E-3</v>
      </c>
      <c r="H98" s="25">
        <f t="shared" si="43"/>
        <v>1.4863636363636359E-3</v>
      </c>
      <c r="I98" s="25">
        <f t="shared" si="44"/>
        <v>1.0459090909090907E-2</v>
      </c>
      <c r="J98" s="26">
        <f t="shared" si="45"/>
        <v>-31.636363636363637</v>
      </c>
      <c r="K98" s="26">
        <f t="shared" si="46"/>
        <v>43.104545454545445</v>
      </c>
      <c r="L98" s="26">
        <f t="shared" si="47"/>
        <v>80</v>
      </c>
      <c r="M98" s="27">
        <f t="shared" si="48"/>
        <v>-1469.1927272727273</v>
      </c>
      <c r="N98" s="27">
        <f t="shared" si="49"/>
        <v>1093.9933636363633</v>
      </c>
      <c r="O98" s="27">
        <f t="shared" si="50"/>
        <v>2030.3999999999999</v>
      </c>
      <c r="P98" s="27">
        <f t="shared" si="51"/>
        <v>-31219.65</v>
      </c>
      <c r="Q98" s="27">
        <f t="shared" si="52"/>
        <v>-29564.449363636366</v>
      </c>
      <c r="R98" s="27">
        <f t="shared" si="53"/>
        <v>-106168.42448636366</v>
      </c>
      <c r="S98" s="16">
        <f t="shared" si="54"/>
        <v>0.9</v>
      </c>
      <c r="T98" s="27">
        <f t="shared" si="55"/>
        <v>-26608.004427272728</v>
      </c>
      <c r="U98" s="27">
        <f t="shared" si="56"/>
        <v>-95551.58203772729</v>
      </c>
    </row>
    <row r="99" spans="1:21">
      <c r="B99" s="22">
        <v>0.6</v>
      </c>
      <c r="C99" s="23">
        <f t="shared" si="39"/>
        <v>25.714285714285715</v>
      </c>
      <c r="D99" s="29">
        <f t="shared" si="57"/>
        <v>0.18237082066869301</v>
      </c>
      <c r="E99" s="24">
        <f t="shared" si="40"/>
        <v>-1.1666666666666667E-4</v>
      </c>
      <c r="F99" s="17">
        <f t="shared" si="41"/>
        <v>1.3449999999999998E-2</v>
      </c>
      <c r="G99" s="25">
        <f t="shared" si="42"/>
        <v>-1.25E-3</v>
      </c>
      <c r="H99" s="25">
        <f t="shared" si="43"/>
        <v>1.1124999999999998E-3</v>
      </c>
      <c r="I99" s="25">
        <f t="shared" si="44"/>
        <v>9.3374999999999986E-3</v>
      </c>
      <c r="J99" s="26">
        <f t="shared" si="45"/>
        <v>-36.25</v>
      </c>
      <c r="K99" s="26">
        <f t="shared" si="46"/>
        <v>32.262499999999996</v>
      </c>
      <c r="L99" s="26">
        <f t="shared" si="47"/>
        <v>80</v>
      </c>
      <c r="M99" s="27">
        <f t="shared" si="48"/>
        <v>-1683.4499999999998</v>
      </c>
      <c r="N99" s="27">
        <f t="shared" si="49"/>
        <v>818.82224999999983</v>
      </c>
      <c r="O99" s="27">
        <f t="shared" si="50"/>
        <v>2030.3999999999999</v>
      </c>
      <c r="P99" s="27">
        <f t="shared" si="51"/>
        <v>-34057.800000000003</v>
      </c>
      <c r="Q99" s="27">
        <f t="shared" si="52"/>
        <v>-32892.027750000001</v>
      </c>
      <c r="R99" s="27">
        <f t="shared" si="53"/>
        <v>-113208.9462375</v>
      </c>
      <c r="S99" s="16">
        <f t="shared" si="54"/>
        <v>0.9</v>
      </c>
      <c r="T99" s="27">
        <f t="shared" si="55"/>
        <v>-29602.824975000003</v>
      </c>
      <c r="U99" s="27">
        <f t="shared" si="56"/>
        <v>-101888.05161375001</v>
      </c>
    </row>
    <row r="100" spans="1:21">
      <c r="B100" s="22">
        <v>0.65</v>
      </c>
      <c r="C100" s="23">
        <f t="shared" si="39"/>
        <v>27.857142857142861</v>
      </c>
      <c r="D100" s="29">
        <f t="shared" si="57"/>
        <v>0.19756838905775079</v>
      </c>
      <c r="E100" s="24">
        <f t="shared" si="40"/>
        <v>-1.0769230769230768E-4</v>
      </c>
      <c r="F100" s="17">
        <f t="shared" si="41"/>
        <v>1.2184615384615382E-2</v>
      </c>
      <c r="G100" s="25">
        <f t="shared" si="42"/>
        <v>-1.384615384615385E-3</v>
      </c>
      <c r="H100" s="25">
        <f t="shared" si="43"/>
        <v>7.9615384615384563E-4</v>
      </c>
      <c r="I100" s="25">
        <f t="shared" si="44"/>
        <v>8.3884615384615373E-3</v>
      </c>
      <c r="J100" s="26">
        <f t="shared" si="45"/>
        <v>-40.15384615384616</v>
      </c>
      <c r="K100" s="26">
        <f t="shared" si="46"/>
        <v>23.088461538461523</v>
      </c>
      <c r="L100" s="26">
        <f t="shared" si="47"/>
        <v>80</v>
      </c>
      <c r="M100" s="27">
        <f t="shared" si="48"/>
        <v>-1864.7446153846156</v>
      </c>
      <c r="N100" s="27">
        <f t="shared" si="49"/>
        <v>585.98515384615348</v>
      </c>
      <c r="O100" s="27">
        <f t="shared" si="50"/>
        <v>2030.3999999999999</v>
      </c>
      <c r="P100" s="27">
        <f t="shared" si="51"/>
        <v>-36895.950000000004</v>
      </c>
      <c r="Q100" s="27">
        <f t="shared" si="52"/>
        <v>-36144.309461538469</v>
      </c>
      <c r="R100" s="27">
        <f t="shared" si="53"/>
        <v>-119784.27550769232</v>
      </c>
      <c r="S100" s="16">
        <f t="shared" si="54"/>
        <v>0.9</v>
      </c>
      <c r="T100" s="27">
        <f t="shared" si="55"/>
        <v>-32529.878515384622</v>
      </c>
      <c r="U100" s="27">
        <f t="shared" si="56"/>
        <v>-107805.84795692308</v>
      </c>
    </row>
    <row r="101" spans="1:21">
      <c r="B101" s="22">
        <v>0.7</v>
      </c>
      <c r="C101" s="23">
        <f t="shared" si="39"/>
        <v>30</v>
      </c>
      <c r="D101" s="29">
        <f t="shared" si="57"/>
        <v>0.21276595744680851</v>
      </c>
      <c r="E101" s="24">
        <f t="shared" si="40"/>
        <v>-1E-4</v>
      </c>
      <c r="F101" s="17">
        <f t="shared" si="41"/>
        <v>1.11E-2</v>
      </c>
      <c r="G101" s="25">
        <f t="shared" si="42"/>
        <v>-1.5E-3</v>
      </c>
      <c r="H101" s="25">
        <f t="shared" si="43"/>
        <v>5.2500000000000008E-4</v>
      </c>
      <c r="I101" s="25">
        <f t="shared" si="44"/>
        <v>7.5750000000000001E-3</v>
      </c>
      <c r="J101" s="26">
        <f t="shared" si="45"/>
        <v>-43.5</v>
      </c>
      <c r="K101" s="26">
        <f t="shared" si="46"/>
        <v>15.225000000000001</v>
      </c>
      <c r="L101" s="26">
        <f t="shared" si="47"/>
        <v>80</v>
      </c>
      <c r="M101" s="27">
        <f t="shared" si="48"/>
        <v>-2020.1399999999999</v>
      </c>
      <c r="N101" s="27">
        <f t="shared" si="49"/>
        <v>386.41050000000001</v>
      </c>
      <c r="O101" s="27">
        <f t="shared" si="50"/>
        <v>2030.3999999999999</v>
      </c>
      <c r="P101" s="27">
        <f t="shared" si="51"/>
        <v>-39734.1</v>
      </c>
      <c r="Q101" s="27">
        <f t="shared" si="52"/>
        <v>-39337.429499999998</v>
      </c>
      <c r="R101" s="27">
        <f t="shared" si="53"/>
        <v>-125918.074525</v>
      </c>
      <c r="S101" s="16">
        <f t="shared" si="54"/>
        <v>0.9</v>
      </c>
      <c r="T101" s="27">
        <f t="shared" si="55"/>
        <v>-35403.686549999999</v>
      </c>
      <c r="U101" s="27">
        <f t="shared" si="56"/>
        <v>-113326.26707250001</v>
      </c>
    </row>
    <row r="102" spans="1:21">
      <c r="B102" s="22">
        <v>0.75</v>
      </c>
      <c r="C102" s="23">
        <f t="shared" si="39"/>
        <v>32.142857142857139</v>
      </c>
      <c r="D102" s="29">
        <f t="shared" si="57"/>
        <v>0.22796352583586624</v>
      </c>
      <c r="E102" s="24">
        <f t="shared" si="40"/>
        <v>-9.3333333333333343E-5</v>
      </c>
      <c r="F102" s="17">
        <f t="shared" si="41"/>
        <v>1.0160000000000001E-2</v>
      </c>
      <c r="G102" s="25">
        <f t="shared" si="42"/>
        <v>-1.5999999999999999E-3</v>
      </c>
      <c r="H102" s="25">
        <f t="shared" si="43"/>
        <v>2.9000000000000044E-4</v>
      </c>
      <c r="I102" s="25">
        <f t="shared" si="44"/>
        <v>6.8700000000000011E-3</v>
      </c>
      <c r="J102" s="26">
        <f t="shared" si="45"/>
        <v>-46.4</v>
      </c>
      <c r="K102" s="26">
        <f t="shared" si="46"/>
        <v>8.4100000000000126</v>
      </c>
      <c r="L102" s="26">
        <f t="shared" si="47"/>
        <v>80</v>
      </c>
      <c r="M102" s="27">
        <f t="shared" si="48"/>
        <v>-2154.8159999999998</v>
      </c>
      <c r="N102" s="27">
        <f t="shared" si="49"/>
        <v>213.4458000000003</v>
      </c>
      <c r="O102" s="27">
        <f t="shared" si="50"/>
        <v>2030.3999999999999</v>
      </c>
      <c r="P102" s="27">
        <f t="shared" si="51"/>
        <v>-42572.249999999993</v>
      </c>
      <c r="Q102" s="27">
        <f t="shared" si="52"/>
        <v>-42483.220199999989</v>
      </c>
      <c r="R102" s="27">
        <f t="shared" si="53"/>
        <v>-131627.69558999999</v>
      </c>
      <c r="S102" s="16">
        <f t="shared" si="54"/>
        <v>0.9</v>
      </c>
      <c r="T102" s="27">
        <f t="shared" si="55"/>
        <v>-38234.898179999989</v>
      </c>
      <c r="U102" s="27">
        <f t="shared" si="56"/>
        <v>-118464.926031</v>
      </c>
    </row>
    <row r="103" spans="1:21">
      <c r="B103" s="22">
        <v>0.8</v>
      </c>
      <c r="C103" s="23">
        <f t="shared" si="39"/>
        <v>34.285714285714292</v>
      </c>
      <c r="D103" s="29">
        <f t="shared" si="57"/>
        <v>0.24316109422492405</v>
      </c>
      <c r="E103" s="24">
        <f t="shared" si="40"/>
        <v>-8.7499999999999986E-5</v>
      </c>
      <c r="F103" s="17">
        <f t="shared" si="41"/>
        <v>9.3374999999999986E-3</v>
      </c>
      <c r="G103" s="25">
        <f t="shared" si="42"/>
        <v>-1.6875000000000002E-3</v>
      </c>
      <c r="H103" s="25">
        <f t="shared" si="43"/>
        <v>8.4374999999999449E-5</v>
      </c>
      <c r="I103" s="25">
        <f t="shared" si="44"/>
        <v>6.2531249999999983E-3</v>
      </c>
      <c r="J103" s="26">
        <f t="shared" si="45"/>
        <v>-48.937500000000007</v>
      </c>
      <c r="K103" s="26">
        <f t="shared" si="46"/>
        <v>2.4468749999999839</v>
      </c>
      <c r="L103" s="26">
        <f t="shared" si="47"/>
        <v>80</v>
      </c>
      <c r="M103" s="27">
        <f t="shared" si="48"/>
        <v>-2272.6575000000003</v>
      </c>
      <c r="N103" s="27">
        <f t="shared" si="49"/>
        <v>62.101687499999592</v>
      </c>
      <c r="O103" s="27">
        <f t="shared" si="50"/>
        <v>2030.3999999999999</v>
      </c>
      <c r="P103" s="27">
        <f t="shared" si="51"/>
        <v>-45410.400000000009</v>
      </c>
      <c r="Q103" s="27">
        <f t="shared" si="52"/>
        <v>-45590.55581250001</v>
      </c>
      <c r="R103" s="27">
        <f t="shared" si="53"/>
        <v>-136926.15292812503</v>
      </c>
      <c r="S103" s="16">
        <f t="shared" si="54"/>
        <v>0.9</v>
      </c>
      <c r="T103" s="27">
        <f t="shared" si="55"/>
        <v>-41031.500231250007</v>
      </c>
      <c r="U103" s="27">
        <f t="shared" si="56"/>
        <v>-123233.53763531253</v>
      </c>
    </row>
    <row r="104" spans="1:21">
      <c r="B104" s="22">
        <v>0.85</v>
      </c>
      <c r="C104" s="23">
        <f t="shared" si="39"/>
        <v>36.428571428571431</v>
      </c>
      <c r="D104" s="29">
        <f t="shared" si="57"/>
        <v>0.25835866261398177</v>
      </c>
      <c r="E104" s="24">
        <f t="shared" si="40"/>
        <v>-8.2352941176470581E-5</v>
      </c>
      <c r="F104" s="17">
        <f t="shared" si="41"/>
        <v>8.6117647058823518E-3</v>
      </c>
      <c r="G104" s="25">
        <f t="shared" si="42"/>
        <v>-1.7647058823529412E-3</v>
      </c>
      <c r="H104" s="25">
        <f t="shared" si="43"/>
        <v>-9.7058823529411919E-5</v>
      </c>
      <c r="I104" s="25">
        <f t="shared" si="44"/>
        <v>5.7088235294117644E-3</v>
      </c>
      <c r="J104" s="26">
        <f t="shared" si="45"/>
        <v>-51.176470588235297</v>
      </c>
      <c r="K104" s="26">
        <f t="shared" si="46"/>
        <v>-2.8147058823529458</v>
      </c>
      <c r="L104" s="26">
        <f t="shared" si="47"/>
        <v>80</v>
      </c>
      <c r="M104" s="27">
        <f t="shared" si="48"/>
        <v>-2376.6352941176469</v>
      </c>
      <c r="N104" s="27">
        <f t="shared" si="49"/>
        <v>-71.437235294117755</v>
      </c>
      <c r="O104" s="27">
        <f t="shared" si="50"/>
        <v>2030.3999999999999</v>
      </c>
      <c r="P104" s="27">
        <f t="shared" si="51"/>
        <v>-48248.55</v>
      </c>
      <c r="Q104" s="27">
        <f t="shared" si="52"/>
        <v>-48666.222529411767</v>
      </c>
      <c r="R104" s="27">
        <f t="shared" si="53"/>
        <v>-141823.39859411767</v>
      </c>
      <c r="S104" s="16">
        <f t="shared" si="54"/>
        <v>0.9</v>
      </c>
      <c r="T104" s="27">
        <f t="shared" si="55"/>
        <v>-43799.600276470592</v>
      </c>
      <c r="U104" s="27">
        <f t="shared" si="56"/>
        <v>-127641.0587347059</v>
      </c>
    </row>
    <row r="105" spans="1:21">
      <c r="B105" s="22">
        <v>0.9</v>
      </c>
      <c r="C105" s="23">
        <f t="shared" si="39"/>
        <v>38.571428571428577</v>
      </c>
      <c r="D105" s="29">
        <f>C105/$D$10</f>
        <v>0.27355623100303955</v>
      </c>
      <c r="E105" s="24">
        <f t="shared" si="40"/>
        <v>-7.7777777777777768E-5</v>
      </c>
      <c r="F105" s="17">
        <f t="shared" si="41"/>
        <v>7.9666666666666653E-3</v>
      </c>
      <c r="G105" s="25">
        <f t="shared" si="42"/>
        <v>-1.8333333333333335E-3</v>
      </c>
      <c r="H105" s="25">
        <f t="shared" si="43"/>
        <v>-2.5833333333333372E-4</v>
      </c>
      <c r="I105" s="25">
        <f t="shared" si="44"/>
        <v>5.2249999999999987E-3</v>
      </c>
      <c r="J105" s="26">
        <f t="shared" si="45"/>
        <v>-53.166666666666671</v>
      </c>
      <c r="K105" s="26">
        <f t="shared" si="46"/>
        <v>-7.4916666666666778</v>
      </c>
      <c r="L105" s="26">
        <f t="shared" si="47"/>
        <v>80</v>
      </c>
      <c r="M105" s="27">
        <f t="shared" si="48"/>
        <v>-2469.06</v>
      </c>
      <c r="N105" s="27">
        <f t="shared" si="49"/>
        <v>-190.13850000000028</v>
      </c>
      <c r="O105" s="27">
        <f t="shared" si="50"/>
        <v>2030.3999999999999</v>
      </c>
      <c r="P105" s="27">
        <f t="shared" si="51"/>
        <v>-51086.700000000012</v>
      </c>
      <c r="Q105" s="27">
        <f t="shared" si="52"/>
        <v>-51715.498500000009</v>
      </c>
      <c r="R105" s="27">
        <f t="shared" si="53"/>
        <v>-146327.17307500003</v>
      </c>
      <c r="S105" s="16">
        <f t="shared" si="54"/>
        <v>0.9</v>
      </c>
      <c r="T105" s="27">
        <f t="shared" si="55"/>
        <v>-46543.948650000006</v>
      </c>
      <c r="U105" s="27">
        <f t="shared" si="56"/>
        <v>-131694.45576750004</v>
      </c>
    </row>
    <row r="107" spans="1:21">
      <c r="B107" s="18" t="s">
        <v>43</v>
      </c>
      <c r="C107" s="18" t="s">
        <v>37</v>
      </c>
      <c r="D107" s="18" t="s">
        <v>47</v>
      </c>
      <c r="E107" s="19" t="s">
        <v>19</v>
      </c>
      <c r="F107" s="19" t="s">
        <v>20</v>
      </c>
      <c r="G107" s="19" t="s">
        <v>21</v>
      </c>
      <c r="H107" s="19" t="s">
        <v>22</v>
      </c>
      <c r="I107" s="19" t="s">
        <v>23</v>
      </c>
      <c r="J107" s="19" t="s">
        <v>24</v>
      </c>
      <c r="K107" s="19" t="s">
        <v>25</v>
      </c>
      <c r="L107" s="19" t="s">
        <v>26</v>
      </c>
      <c r="M107" s="19" t="s">
        <v>27</v>
      </c>
      <c r="N107" s="19" t="s">
        <v>28</v>
      </c>
      <c r="O107" s="19" t="s">
        <v>29</v>
      </c>
      <c r="P107" s="19" t="s">
        <v>30</v>
      </c>
      <c r="Q107" s="19" t="s">
        <v>31</v>
      </c>
      <c r="R107" s="19" t="s">
        <v>32</v>
      </c>
      <c r="S107" s="19" t="s">
        <v>33</v>
      </c>
      <c r="T107" s="19"/>
      <c r="U107" s="19"/>
    </row>
    <row r="108" spans="1:21">
      <c r="C108" s="21" t="s">
        <v>14</v>
      </c>
      <c r="D108" s="21"/>
      <c r="E108" s="21" t="s">
        <v>39</v>
      </c>
      <c r="F108" s="20"/>
      <c r="G108" s="20"/>
      <c r="H108" s="20"/>
      <c r="I108" s="20"/>
      <c r="J108" s="21" t="s">
        <v>13</v>
      </c>
      <c r="K108" s="21" t="s">
        <v>13</v>
      </c>
      <c r="L108" s="21" t="s">
        <v>13</v>
      </c>
      <c r="M108" s="21" t="s">
        <v>41</v>
      </c>
      <c r="N108" s="21" t="s">
        <v>41</v>
      </c>
      <c r="O108" s="21" t="s">
        <v>41</v>
      </c>
      <c r="P108" s="21" t="s">
        <v>41</v>
      </c>
      <c r="Q108" s="21" t="s">
        <v>41</v>
      </c>
      <c r="R108" s="21" t="s">
        <v>42</v>
      </c>
      <c r="S108" s="21"/>
      <c r="T108" s="21"/>
      <c r="U108" s="21"/>
    </row>
    <row r="109" spans="1:21">
      <c r="A109" s="15" t="s">
        <v>44</v>
      </c>
      <c r="B109" s="22"/>
      <c r="C109" s="23"/>
      <c r="D109" s="23"/>
      <c r="E109" s="24"/>
      <c r="F109" s="17"/>
      <c r="G109" s="25"/>
      <c r="H109" s="25"/>
      <c r="I109" s="25"/>
      <c r="J109" s="26"/>
      <c r="K109" s="26"/>
      <c r="L109" s="26"/>
      <c r="M109" s="27"/>
      <c r="N109" s="27"/>
      <c r="O109" s="27"/>
      <c r="P109" s="27"/>
      <c r="Q109" s="27"/>
      <c r="R109" s="27"/>
      <c r="S109" s="16"/>
      <c r="T109" s="27"/>
      <c r="U109" s="27"/>
    </row>
    <row r="110" spans="1:21">
      <c r="B110" s="22">
        <v>1.0000000000000001E-5</v>
      </c>
      <c r="C110" s="30">
        <f>B110/$D$15*($D$10-$D$13)</f>
        <v>1.5857142857142858E-3</v>
      </c>
      <c r="D110" s="29">
        <f>C110/$D$10</f>
        <v>1.1246200607902737E-5</v>
      </c>
      <c r="E110" s="24">
        <f>-0.003/C110</f>
        <v>-1.8918918918918919</v>
      </c>
      <c r="F110" s="17">
        <f>E110*(C110-$D$10)</f>
        <v>266.75375675675679</v>
      </c>
      <c r="G110" s="25">
        <f>E110*(C110-$D$10+$D$20)</f>
        <v>238.37537837837837</v>
      </c>
      <c r="H110" s="25">
        <f>E110*(C110-$D$10+$D$21)</f>
        <v>200.06456756756756</v>
      </c>
      <c r="I110" s="25">
        <f>E110*(C110-$D$10+$D$22)</f>
        <v>66.686189189189193</v>
      </c>
      <c r="J110" s="26">
        <f>SIGN(G110)*MIN($D$8*ABS(G110),$D$7)</f>
        <v>80</v>
      </c>
      <c r="K110" s="26">
        <f>SIGN(H110)*MIN($D$8*ABS(H110),$D$7)</f>
        <v>80</v>
      </c>
      <c r="L110" s="26">
        <f>SIGN(I110)*MIN($D$8*ABS(I110),$D$7)</f>
        <v>80</v>
      </c>
      <c r="M110" s="27">
        <f>J110*$D$80</f>
        <v>3715.2</v>
      </c>
      <c r="N110" s="27">
        <f>K110*$D$81*2</f>
        <v>2030.3999999999999</v>
      </c>
      <c r="O110" s="27">
        <f>L110*$D$82*2</f>
        <v>2030.3999999999999</v>
      </c>
      <c r="P110" s="9">
        <f>$D$15*C110*2*$D$12*(-0.85*$D$6)</f>
        <v>-0.39626999999999996</v>
      </c>
      <c r="Q110" s="27">
        <f>SUM(M110:P110)</f>
        <v>7775.6037299999989</v>
      </c>
      <c r="R110" s="27">
        <f>(P110*(-$D$10+$D$18+$D$15*C110/2)+M110*($D$18-$D$20)+N110*($D$18-$D$21)+O110*($D$18-$D$22))/12</f>
        <v>3.2037145475139064</v>
      </c>
      <c r="S110" s="16">
        <f>MAX(0.65,MIN(0.9,0.65+(F110-0.002)*250/3))</f>
        <v>0.9</v>
      </c>
      <c r="T110" s="27">
        <f>Q110*S110</f>
        <v>6998.0433569999996</v>
      </c>
      <c r="U110" s="27">
        <f>R110*S110</f>
        <v>2.8833430927625159</v>
      </c>
    </row>
    <row r="111" spans="1:21">
      <c r="B111" s="22">
        <v>0.05</v>
      </c>
      <c r="C111" s="26">
        <f t="shared" ref="C111:C128" si="58">B111/$D$15*($D$10-$D$13)</f>
        <v>7.9285714285714297</v>
      </c>
      <c r="D111" s="31">
        <f t="shared" ref="D111:D128" si="59">C111/$D$10</f>
        <v>5.6231003039513686E-2</v>
      </c>
      <c r="E111" s="24">
        <f t="shared" ref="E111:E128" si="60">-0.003/C111</f>
        <v>-3.7837837837837834E-4</v>
      </c>
      <c r="F111" s="17">
        <f t="shared" ref="F111:F128" si="61">E111*(C111-$D$10)</f>
        <v>5.0351351351351353E-2</v>
      </c>
      <c r="G111" s="25">
        <f t="shared" ref="G111:G128" si="62">E111*(C111-$D$10+$D$20)</f>
        <v>4.4675675675675673E-2</v>
      </c>
      <c r="H111" s="25">
        <f t="shared" ref="H111:H128" si="63">E111*(C111-$D$10+$D$21)</f>
        <v>3.7013513513513514E-2</v>
      </c>
      <c r="I111" s="25">
        <f t="shared" ref="I111:I128" si="64">E111*(C111-$D$10+$D$22)</f>
        <v>1.0337837837837842E-2</v>
      </c>
      <c r="J111" s="26">
        <f t="shared" ref="J111:J128" si="65">SIGN(G111)*MIN($D$8*ABS(G111),$D$7)</f>
        <v>80</v>
      </c>
      <c r="K111" s="26">
        <f t="shared" ref="K111:K128" si="66">SIGN(H111)*MIN($D$8*ABS(H111),$D$7)</f>
        <v>80</v>
      </c>
      <c r="L111" s="26">
        <f t="shared" ref="L111:L128" si="67">SIGN(I111)*MIN($D$8*ABS(I111),$D$7)</f>
        <v>80</v>
      </c>
      <c r="M111" s="27">
        <f t="shared" ref="M111:M128" si="68">J111*$D$80</f>
        <v>3715.2</v>
      </c>
      <c r="N111" s="27">
        <f t="shared" ref="N111:N128" si="69">K111*$D$81*2</f>
        <v>2030.3999999999999</v>
      </c>
      <c r="O111" s="27">
        <f t="shared" ref="O111:O128" si="70">L111*$D$82*2</f>
        <v>2030.3999999999999</v>
      </c>
      <c r="P111" s="9">
        <f t="shared" ref="P111:P128" si="71">$D$15*C111*2*$D$12*(-0.85*$D$6)</f>
        <v>-1981.3500000000004</v>
      </c>
      <c r="Q111" s="27">
        <f t="shared" ref="Q111:Q128" si="72">SUM(M111:P111)</f>
        <v>5794.6499999999987</v>
      </c>
      <c r="R111" s="27">
        <f t="shared" ref="R111:R128" si="73">(P111*(-$D$10+$D$18+$D$15*C111/2)+M111*($D$18-$D$20)+N111*($D$18-$D$21)+O111*($D$18-$D$22))/12</f>
        <v>15560.477187500001</v>
      </c>
      <c r="S111" s="16">
        <f t="shared" ref="S111:S128" si="74">MAX(0.65,MIN(0.9,0.65+(F111-0.002)*250/3))</f>
        <v>0.9</v>
      </c>
      <c r="T111" s="27">
        <f t="shared" ref="T111:T125" si="75">Q111*S111</f>
        <v>5215.1849999999986</v>
      </c>
      <c r="U111" s="27">
        <f t="shared" ref="U111:U125" si="76">R111*S111</f>
        <v>14004.429468750001</v>
      </c>
    </row>
    <row r="112" spans="1:21">
      <c r="B112" s="22">
        <v>9.9900000000000003E-2</v>
      </c>
      <c r="C112" s="40">
        <f t="shared" si="58"/>
        <v>15.841285714285718</v>
      </c>
      <c r="D112" s="31">
        <f t="shared" si="59"/>
        <v>0.11234954407294835</v>
      </c>
      <c r="E112" s="41">
        <f t="shared" si="60"/>
        <v>-1.8937856775694609E-4</v>
      </c>
      <c r="F112" s="42">
        <f t="shared" si="61"/>
        <v>2.3702378053729399E-2</v>
      </c>
      <c r="G112" s="43">
        <f t="shared" si="62"/>
        <v>2.0861699537375208E-2</v>
      </c>
      <c r="H112" s="43">
        <f t="shared" si="63"/>
        <v>1.702678354029705E-2</v>
      </c>
      <c r="I112" s="43">
        <f t="shared" si="64"/>
        <v>3.6755945134323495E-3</v>
      </c>
      <c r="J112" s="40">
        <f t="shared" si="65"/>
        <v>80</v>
      </c>
      <c r="K112" s="40">
        <f t="shared" si="66"/>
        <v>80</v>
      </c>
      <c r="L112" s="40">
        <f t="shared" si="67"/>
        <v>80</v>
      </c>
      <c r="M112" s="44">
        <f t="shared" si="68"/>
        <v>3715.2</v>
      </c>
      <c r="N112" s="44">
        <f t="shared" si="69"/>
        <v>2030.3999999999999</v>
      </c>
      <c r="O112" s="44">
        <f t="shared" si="70"/>
        <v>2030.3999999999999</v>
      </c>
      <c r="P112" s="45">
        <f t="shared" si="71"/>
        <v>-3958.7373000000011</v>
      </c>
      <c r="Q112" s="44">
        <f t="shared" si="72"/>
        <v>3817.2626999999979</v>
      </c>
      <c r="R112" s="44">
        <f t="shared" si="73"/>
        <v>30176.206336001258</v>
      </c>
      <c r="S112" s="46">
        <f t="shared" si="74"/>
        <v>0.9</v>
      </c>
      <c r="T112" s="44">
        <f t="shared" si="75"/>
        <v>3435.5364299999983</v>
      </c>
      <c r="U112" s="27">
        <f t="shared" si="76"/>
        <v>27158.585702401131</v>
      </c>
    </row>
    <row r="113" spans="2:21">
      <c r="B113" s="22">
        <v>0.14979999999999999</v>
      </c>
      <c r="C113" s="40">
        <f t="shared" si="58"/>
        <v>23.753999999999998</v>
      </c>
      <c r="D113" s="31">
        <f t="shared" si="59"/>
        <v>0.16846808510638298</v>
      </c>
      <c r="E113" s="41">
        <f t="shared" si="60"/>
        <v>-1.2629451881788332E-4</v>
      </c>
      <c r="F113" s="42">
        <f t="shared" si="61"/>
        <v>1.4807527153321549E-2</v>
      </c>
      <c r="G113" s="43">
        <f t="shared" si="62"/>
        <v>1.2913109371053298E-2</v>
      </c>
      <c r="H113" s="43">
        <f t="shared" si="63"/>
        <v>1.0355645364991161E-2</v>
      </c>
      <c r="I113" s="43">
        <f t="shared" si="64"/>
        <v>1.4518817883303879E-3</v>
      </c>
      <c r="J113" s="40">
        <f t="shared" si="65"/>
        <v>80</v>
      </c>
      <c r="K113" s="40">
        <f t="shared" si="66"/>
        <v>80</v>
      </c>
      <c r="L113" s="40">
        <f t="shared" si="67"/>
        <v>42.104571861581249</v>
      </c>
      <c r="M113" s="44">
        <f t="shared" si="68"/>
        <v>3715.2</v>
      </c>
      <c r="N113" s="44">
        <f t="shared" si="69"/>
        <v>2030.3999999999999</v>
      </c>
      <c r="O113" s="44">
        <f t="shared" si="70"/>
        <v>1068.614033846932</v>
      </c>
      <c r="P113" s="45">
        <f t="shared" si="71"/>
        <v>-5936.1245999999992</v>
      </c>
      <c r="Q113" s="44">
        <f t="shared" si="72"/>
        <v>878.08943384693248</v>
      </c>
      <c r="R113" s="44">
        <f t="shared" si="73"/>
        <v>48829.749039509537</v>
      </c>
      <c r="S113" s="46">
        <f t="shared" si="74"/>
        <v>0.9</v>
      </c>
      <c r="T113" s="44">
        <f t="shared" si="75"/>
        <v>790.2804904622393</v>
      </c>
      <c r="U113" s="27">
        <f t="shared" si="76"/>
        <v>43946.774135558582</v>
      </c>
    </row>
    <row r="114" spans="2:21">
      <c r="B114" s="22">
        <v>0.19969999999999999</v>
      </c>
      <c r="C114" s="40">
        <f t="shared" si="58"/>
        <v>31.666714285714288</v>
      </c>
      <c r="D114" s="31">
        <f t="shared" si="59"/>
        <v>0.22458662613981764</v>
      </c>
      <c r="E114" s="41">
        <f t="shared" si="60"/>
        <v>-9.4736699644060673E-5</v>
      </c>
      <c r="F114" s="42">
        <f t="shared" si="61"/>
        <v>1.0357874649812554E-2</v>
      </c>
      <c r="G114" s="43">
        <f t="shared" si="62"/>
        <v>8.9368241551516445E-3</v>
      </c>
      <c r="H114" s="43">
        <f t="shared" si="63"/>
        <v>7.0184059873594157E-3</v>
      </c>
      <c r="I114" s="43">
        <f t="shared" si="64"/>
        <v>3.3946866245313851E-4</v>
      </c>
      <c r="J114" s="40">
        <f t="shared" si="65"/>
        <v>80</v>
      </c>
      <c r="K114" s="40">
        <f t="shared" si="66"/>
        <v>80</v>
      </c>
      <c r="L114" s="40">
        <f t="shared" si="67"/>
        <v>9.844591211141017</v>
      </c>
      <c r="M114" s="44">
        <f t="shared" si="68"/>
        <v>3715.2</v>
      </c>
      <c r="N114" s="44">
        <f t="shared" si="69"/>
        <v>2030.3999999999999</v>
      </c>
      <c r="O114" s="44">
        <f t="shared" si="70"/>
        <v>249.85572493875901</v>
      </c>
      <c r="P114" s="45">
        <f t="shared" si="71"/>
        <v>-7913.5119000000013</v>
      </c>
      <c r="Q114" s="44">
        <f t="shared" si="72"/>
        <v>-1918.0561750612433</v>
      </c>
      <c r="R114" s="44">
        <f t="shared" si="73"/>
        <v>65834.384064257043</v>
      </c>
      <c r="S114" s="46">
        <f t="shared" si="74"/>
        <v>0.9</v>
      </c>
      <c r="T114" s="44">
        <f t="shared" si="75"/>
        <v>-1726.250557555119</v>
      </c>
      <c r="U114" s="27">
        <f t="shared" si="76"/>
        <v>59250.94565783134</v>
      </c>
    </row>
    <row r="115" spans="2:21">
      <c r="B115" s="22">
        <v>0.24959999999999999</v>
      </c>
      <c r="C115" s="26">
        <f t="shared" si="58"/>
        <v>39.579428571428572</v>
      </c>
      <c r="D115" s="29">
        <f t="shared" si="59"/>
        <v>0.28070516717325228</v>
      </c>
      <c r="E115" s="24">
        <f t="shared" si="60"/>
        <v>-7.5796950796950792E-5</v>
      </c>
      <c r="F115" s="17">
        <f t="shared" si="61"/>
        <v>7.687370062370062E-3</v>
      </c>
      <c r="G115" s="25">
        <f t="shared" si="62"/>
        <v>6.5504158004158009E-3</v>
      </c>
      <c r="H115" s="25">
        <f t="shared" si="63"/>
        <v>5.0155275467775474E-3</v>
      </c>
      <c r="I115" s="25">
        <f t="shared" si="64"/>
        <v>-3.2815748440748389E-4</v>
      </c>
      <c r="J115" s="26">
        <f t="shared" si="65"/>
        <v>80</v>
      </c>
      <c r="K115" s="26">
        <f t="shared" si="66"/>
        <v>80</v>
      </c>
      <c r="L115" s="26">
        <f t="shared" si="67"/>
        <v>-9.5165670478170323</v>
      </c>
      <c r="M115" s="27">
        <f t="shared" si="68"/>
        <v>3715.2</v>
      </c>
      <c r="N115" s="27">
        <f t="shared" si="69"/>
        <v>2030.3999999999999</v>
      </c>
      <c r="O115" s="27">
        <f t="shared" si="70"/>
        <v>-241.53047167359628</v>
      </c>
      <c r="P115" s="9">
        <f t="shared" si="71"/>
        <v>-9890.8991999999998</v>
      </c>
      <c r="Q115" s="27">
        <f t="shared" si="72"/>
        <v>-4386.8296716735967</v>
      </c>
      <c r="R115" s="27">
        <f t="shared" si="73"/>
        <v>80241.249534662158</v>
      </c>
      <c r="S115" s="16">
        <f t="shared" si="74"/>
        <v>0.9</v>
      </c>
      <c r="T115" s="27">
        <f t="shared" si="75"/>
        <v>-3948.1467045062373</v>
      </c>
      <c r="U115" s="27">
        <f t="shared" si="76"/>
        <v>72217.124581195938</v>
      </c>
    </row>
    <row r="116" spans="2:21">
      <c r="B116" s="22">
        <v>0.29949999999999999</v>
      </c>
      <c r="C116" s="26">
        <f t="shared" si="58"/>
        <v>47.492142857142859</v>
      </c>
      <c r="D116" s="29">
        <f t="shared" si="59"/>
        <v>0.33682370820668694</v>
      </c>
      <c r="E116" s="24">
        <f t="shared" si="60"/>
        <v>-6.3168343635789382E-5</v>
      </c>
      <c r="F116" s="17">
        <f t="shared" si="61"/>
        <v>5.9067364526463034E-3</v>
      </c>
      <c r="G116" s="25">
        <f t="shared" si="62"/>
        <v>4.9592112981094623E-3</v>
      </c>
      <c r="H116" s="25">
        <f t="shared" si="63"/>
        <v>3.6800523394847273E-3</v>
      </c>
      <c r="I116" s="25">
        <f t="shared" si="64"/>
        <v>-7.733158868384241E-4</v>
      </c>
      <c r="J116" s="26">
        <f t="shared" si="65"/>
        <v>80</v>
      </c>
      <c r="K116" s="26">
        <f t="shared" si="66"/>
        <v>80</v>
      </c>
      <c r="L116" s="26">
        <f t="shared" si="67"/>
        <v>-22.4261607183143</v>
      </c>
      <c r="M116" s="27">
        <f t="shared" si="68"/>
        <v>3715.2</v>
      </c>
      <c r="N116" s="27">
        <f t="shared" si="69"/>
        <v>2030.3999999999999</v>
      </c>
      <c r="O116" s="27">
        <f t="shared" si="70"/>
        <v>-569.1759590308169</v>
      </c>
      <c r="P116" s="9">
        <f t="shared" si="71"/>
        <v>-11868.2865</v>
      </c>
      <c r="Q116" s="27">
        <f t="shared" si="72"/>
        <v>-6691.8624590308173</v>
      </c>
      <c r="R116" s="27">
        <f t="shared" si="73"/>
        <v>92892.592644709293</v>
      </c>
      <c r="S116" s="16">
        <f t="shared" si="74"/>
        <v>0.9</v>
      </c>
      <c r="T116" s="27">
        <f t="shared" si="75"/>
        <v>-6022.6762131277355</v>
      </c>
      <c r="U116" s="27">
        <f t="shared" si="76"/>
        <v>83603.333380238371</v>
      </c>
    </row>
    <row r="117" spans="2:21">
      <c r="B117" s="22">
        <v>0.34939999999999999</v>
      </c>
      <c r="C117" s="26">
        <f t="shared" si="58"/>
        <v>55.404857142857146</v>
      </c>
      <c r="D117" s="29">
        <f t="shared" si="59"/>
        <v>0.39294224924012161</v>
      </c>
      <c r="E117" s="24">
        <f t="shared" si="60"/>
        <v>-5.4146877272235026E-5</v>
      </c>
      <c r="F117" s="17">
        <f t="shared" si="61"/>
        <v>4.6347096953851391E-3</v>
      </c>
      <c r="G117" s="25">
        <f t="shared" si="62"/>
        <v>3.8225065363016136E-3</v>
      </c>
      <c r="H117" s="25">
        <f t="shared" si="63"/>
        <v>2.7260322715388545E-3</v>
      </c>
      <c r="I117" s="25">
        <f t="shared" si="64"/>
        <v>-1.0913225761537151E-3</v>
      </c>
      <c r="J117" s="26">
        <f t="shared" si="65"/>
        <v>80</v>
      </c>
      <c r="K117" s="26">
        <f t="shared" si="66"/>
        <v>79.054935874626779</v>
      </c>
      <c r="L117" s="26">
        <f t="shared" si="67"/>
        <v>-31.648354708457738</v>
      </c>
      <c r="M117" s="27">
        <f t="shared" si="68"/>
        <v>3715.2</v>
      </c>
      <c r="N117" s="27">
        <f t="shared" si="69"/>
        <v>2006.4142724980275</v>
      </c>
      <c r="O117" s="27">
        <f t="shared" si="70"/>
        <v>-803.23524250065736</v>
      </c>
      <c r="P117" s="9">
        <f t="shared" si="71"/>
        <v>-13845.6738</v>
      </c>
      <c r="Q117" s="27">
        <f t="shared" si="72"/>
        <v>-8927.2947700026307</v>
      </c>
      <c r="R117" s="27">
        <f t="shared" si="73"/>
        <v>104132.05794395668</v>
      </c>
      <c r="S117" s="16">
        <f t="shared" si="74"/>
        <v>0.86955914128209499</v>
      </c>
      <c r="T117" s="27">
        <f t="shared" si="75"/>
        <v>-7762.8107741756248</v>
      </c>
      <c r="U117" s="27">
        <f t="shared" si="76"/>
        <v>90548.982885684323</v>
      </c>
    </row>
    <row r="118" spans="2:21">
      <c r="B118" s="22">
        <v>0.39929999999999999</v>
      </c>
      <c r="C118" s="26">
        <f t="shared" si="58"/>
        <v>63.317571428571426</v>
      </c>
      <c r="D118" s="29">
        <f t="shared" si="59"/>
        <v>0.44906079027355622</v>
      </c>
      <c r="E118" s="24">
        <f t="shared" si="60"/>
        <v>-4.7380212669468872E-5</v>
      </c>
      <c r="F118" s="17">
        <f t="shared" si="61"/>
        <v>3.6806099863951106E-3</v>
      </c>
      <c r="G118" s="25">
        <f t="shared" si="62"/>
        <v>2.9699067963530777E-3</v>
      </c>
      <c r="H118" s="25">
        <f t="shared" si="63"/>
        <v>2.010457489796333E-3</v>
      </c>
      <c r="I118" s="25">
        <f t="shared" si="64"/>
        <v>-1.3298475034012225E-3</v>
      </c>
      <c r="J118" s="26">
        <f t="shared" si="65"/>
        <v>80</v>
      </c>
      <c r="K118" s="26">
        <f t="shared" si="66"/>
        <v>58.303267204093657</v>
      </c>
      <c r="L118" s="26">
        <f t="shared" si="67"/>
        <v>-38.56557759863545</v>
      </c>
      <c r="M118" s="27">
        <f t="shared" si="68"/>
        <v>3715.2</v>
      </c>
      <c r="N118" s="27">
        <f t="shared" si="69"/>
        <v>1479.736921639897</v>
      </c>
      <c r="O118" s="27">
        <f t="shared" si="70"/>
        <v>-978.79435945336763</v>
      </c>
      <c r="P118" s="9">
        <f t="shared" si="71"/>
        <v>-15823.061099999999</v>
      </c>
      <c r="Q118" s="27">
        <f t="shared" si="72"/>
        <v>-11606.91853781347</v>
      </c>
      <c r="R118" s="27">
        <f t="shared" si="73"/>
        <v>113791.84955055219</v>
      </c>
      <c r="S118" s="16">
        <f t="shared" si="74"/>
        <v>0.7900508321995926</v>
      </c>
      <c r="T118" s="27">
        <f t="shared" si="75"/>
        <v>-9170.0556500724106</v>
      </c>
      <c r="U118" s="27">
        <f t="shared" si="76"/>
        <v>89901.345434944596</v>
      </c>
    </row>
    <row r="119" spans="2:21">
      <c r="B119" s="22">
        <v>0.44919999999999999</v>
      </c>
      <c r="C119" s="26">
        <f t="shared" si="58"/>
        <v>71.230285714285728</v>
      </c>
      <c r="D119" s="29">
        <f t="shared" si="59"/>
        <v>0.505179331306991</v>
      </c>
      <c r="E119" s="24">
        <f t="shared" si="60"/>
        <v>-4.2116916560371587E-5</v>
      </c>
      <c r="F119" s="17">
        <f t="shared" si="61"/>
        <v>2.9384852350123935E-3</v>
      </c>
      <c r="G119" s="25">
        <f t="shared" si="62"/>
        <v>2.3067314866068197E-3</v>
      </c>
      <c r="H119" s="25">
        <f t="shared" si="63"/>
        <v>1.4538639262592951E-3</v>
      </c>
      <c r="I119" s="25">
        <f t="shared" si="64"/>
        <v>-1.5153786912469019E-3</v>
      </c>
      <c r="J119" s="26">
        <f t="shared" si="65"/>
        <v>66.895213111597769</v>
      </c>
      <c r="K119" s="26">
        <f t="shared" si="66"/>
        <v>42.16205386151956</v>
      </c>
      <c r="L119" s="26">
        <f t="shared" si="67"/>
        <v>-43.945982046160154</v>
      </c>
      <c r="M119" s="27">
        <f t="shared" si="68"/>
        <v>3106.6136969026002</v>
      </c>
      <c r="N119" s="27">
        <f t="shared" si="69"/>
        <v>1070.0729270053664</v>
      </c>
      <c r="O119" s="27">
        <f t="shared" si="70"/>
        <v>-1115.3490243315446</v>
      </c>
      <c r="P119" s="9">
        <f t="shared" si="71"/>
        <v>-17800.448400000001</v>
      </c>
      <c r="Q119" s="27">
        <f t="shared" si="72"/>
        <v>-14739.110800423579</v>
      </c>
      <c r="R119" s="27">
        <f t="shared" si="73"/>
        <v>120953.41877829825</v>
      </c>
      <c r="S119" s="16">
        <f t="shared" si="74"/>
        <v>0.72820710291769952</v>
      </c>
      <c r="T119" s="27">
        <f t="shared" si="75"/>
        <v>-10733.125175559429</v>
      </c>
      <c r="U119" s="27">
        <f t="shared" si="76"/>
        <v>88079.138676535847</v>
      </c>
    </row>
    <row r="120" spans="2:21">
      <c r="B120" s="22">
        <v>0.49909999999999999</v>
      </c>
      <c r="C120" s="26">
        <f t="shared" si="58"/>
        <v>79.143000000000015</v>
      </c>
      <c r="D120" s="29">
        <f t="shared" si="59"/>
        <v>0.56129787234042561</v>
      </c>
      <c r="E120" s="24">
        <f t="shared" si="60"/>
        <v>-3.7906068761608724E-5</v>
      </c>
      <c r="F120" s="17">
        <f t="shared" si="61"/>
        <v>2.3447556953868302E-3</v>
      </c>
      <c r="G120" s="25">
        <f t="shared" si="62"/>
        <v>1.7761646639626995E-3</v>
      </c>
      <c r="H120" s="25">
        <f t="shared" si="63"/>
        <v>1.0085667715401228E-3</v>
      </c>
      <c r="I120" s="25">
        <f t="shared" si="64"/>
        <v>-1.6638110761532923E-3</v>
      </c>
      <c r="J120" s="26">
        <f t="shared" si="65"/>
        <v>51.508775254918284</v>
      </c>
      <c r="K120" s="26">
        <f t="shared" si="66"/>
        <v>29.248436374663562</v>
      </c>
      <c r="L120" s="26">
        <f t="shared" si="67"/>
        <v>-48.250521208445477</v>
      </c>
      <c r="M120" s="27">
        <f t="shared" si="68"/>
        <v>2392.0675228384048</v>
      </c>
      <c r="N120" s="27">
        <f t="shared" si="69"/>
        <v>742.32531518896121</v>
      </c>
      <c r="O120" s="27">
        <f t="shared" si="70"/>
        <v>-1224.5982282703462</v>
      </c>
      <c r="P120" s="9">
        <f t="shared" si="71"/>
        <v>-19777.835700000003</v>
      </c>
      <c r="Q120" s="27">
        <f t="shared" si="72"/>
        <v>-17868.041090242983</v>
      </c>
      <c r="R120" s="27">
        <f t="shared" si="73"/>
        <v>126865.42258908029</v>
      </c>
      <c r="S120" s="16">
        <f t="shared" si="74"/>
        <v>0.6787296412822359</v>
      </c>
      <c r="T120" s="27">
        <f t="shared" si="75"/>
        <v>-12127.56911959687</v>
      </c>
      <c r="U120" s="27">
        <f t="shared" si="76"/>
        <v>86107.322765005738</v>
      </c>
    </row>
    <row r="121" spans="2:21">
      <c r="B121" s="22">
        <v>0.54900000000000004</v>
      </c>
      <c r="C121" s="26">
        <f t="shared" si="58"/>
        <v>87.055714285714288</v>
      </c>
      <c r="D121" s="29">
        <f t="shared" si="59"/>
        <v>0.61741641337386022</v>
      </c>
      <c r="E121" s="24">
        <f t="shared" si="60"/>
        <v>-3.4460690198395119E-5</v>
      </c>
      <c r="F121" s="17">
        <f t="shared" si="61"/>
        <v>1.8589573179737114E-3</v>
      </c>
      <c r="G121" s="25">
        <f t="shared" si="62"/>
        <v>1.3420469649977848E-3</v>
      </c>
      <c r="H121" s="25">
        <f t="shared" si="63"/>
        <v>6.4421798848028351E-4</v>
      </c>
      <c r="I121" s="25">
        <f t="shared" si="64"/>
        <v>-1.7852606705065725E-3</v>
      </c>
      <c r="J121" s="26">
        <f t="shared" si="65"/>
        <v>38.919361984935755</v>
      </c>
      <c r="K121" s="26">
        <f t="shared" si="66"/>
        <v>18.682321665928221</v>
      </c>
      <c r="L121" s="26">
        <f t="shared" si="67"/>
        <v>-51.7725594446906</v>
      </c>
      <c r="M121" s="27">
        <f t="shared" si="68"/>
        <v>1807.4151705804163</v>
      </c>
      <c r="N121" s="27">
        <f t="shared" si="69"/>
        <v>474.15732388125821</v>
      </c>
      <c r="O121" s="27">
        <f t="shared" si="70"/>
        <v>-1313.9875587062475</v>
      </c>
      <c r="P121" s="9">
        <f t="shared" si="71"/>
        <v>-21755.223000000002</v>
      </c>
      <c r="Q121" s="27">
        <f t="shared" si="72"/>
        <v>-20787.638064244573</v>
      </c>
      <c r="R121" s="27">
        <f t="shared" si="73"/>
        <v>132119.58105973402</v>
      </c>
      <c r="S121" s="16">
        <f t="shared" si="74"/>
        <v>0.65</v>
      </c>
      <c r="T121" s="27">
        <f t="shared" si="75"/>
        <v>-13511.964741758973</v>
      </c>
      <c r="U121" s="27">
        <f t="shared" si="76"/>
        <v>85877.727688827115</v>
      </c>
    </row>
    <row r="122" spans="2:21">
      <c r="B122" s="22">
        <v>0.59889999999999999</v>
      </c>
      <c r="C122" s="26">
        <f t="shared" si="58"/>
        <v>94.968428571428575</v>
      </c>
      <c r="D122" s="29">
        <f t="shared" si="59"/>
        <v>0.67353495440729483</v>
      </c>
      <c r="E122" s="24">
        <f t="shared" si="60"/>
        <v>-3.1589445514975652E-5</v>
      </c>
      <c r="F122" s="17">
        <f t="shared" si="61"/>
        <v>1.4541118176115669E-3</v>
      </c>
      <c r="G122" s="25">
        <f t="shared" si="62"/>
        <v>9.8027013488693224E-4</v>
      </c>
      <c r="H122" s="25">
        <f t="shared" si="63"/>
        <v>3.4058386320867521E-4</v>
      </c>
      <c r="I122" s="25">
        <f t="shared" si="64"/>
        <v>-1.8864720455971083E-3</v>
      </c>
      <c r="J122" s="26">
        <f t="shared" si="65"/>
        <v>28.427833911721034</v>
      </c>
      <c r="K122" s="26">
        <f t="shared" si="66"/>
        <v>9.8769320330515811</v>
      </c>
      <c r="L122" s="26">
        <f t="shared" si="67"/>
        <v>-54.707689322316142</v>
      </c>
      <c r="M122" s="27">
        <f t="shared" si="68"/>
        <v>1320.1886068603249</v>
      </c>
      <c r="N122" s="27">
        <f t="shared" si="69"/>
        <v>250.67653499884912</v>
      </c>
      <c r="O122" s="27">
        <f t="shared" si="70"/>
        <v>-1388.4811550003835</v>
      </c>
      <c r="P122" s="9">
        <f t="shared" si="71"/>
        <v>-23732.610300000004</v>
      </c>
      <c r="Q122" s="27">
        <f t="shared" si="72"/>
        <v>-23550.226313141215</v>
      </c>
      <c r="R122" s="27">
        <f t="shared" si="73"/>
        <v>136652.18802851366</v>
      </c>
      <c r="S122" s="16">
        <f t="shared" si="74"/>
        <v>0.65</v>
      </c>
      <c r="T122" s="27">
        <f t="shared" si="75"/>
        <v>-15307.647103541791</v>
      </c>
      <c r="U122" s="27">
        <f t="shared" si="76"/>
        <v>88823.922218533888</v>
      </c>
    </row>
    <row r="123" spans="2:21">
      <c r="B123" s="22">
        <v>0.64880000000000004</v>
      </c>
      <c r="C123" s="26">
        <f t="shared" si="58"/>
        <v>102.88114285714286</v>
      </c>
      <c r="D123" s="29">
        <f t="shared" si="59"/>
        <v>0.72965349544072955</v>
      </c>
      <c r="E123" s="24">
        <f t="shared" si="60"/>
        <v>-2.9159862698703635E-5</v>
      </c>
      <c r="F123" s="17">
        <f t="shared" si="61"/>
        <v>1.1115406405172125E-3</v>
      </c>
      <c r="G123" s="25">
        <f t="shared" si="62"/>
        <v>6.7414270003665795E-4</v>
      </c>
      <c r="H123" s="25">
        <f t="shared" si="63"/>
        <v>8.3655480387909341E-5</v>
      </c>
      <c r="I123" s="25">
        <f t="shared" si="64"/>
        <v>-1.9721148398706969E-3</v>
      </c>
      <c r="J123" s="26">
        <f t="shared" si="65"/>
        <v>19.550138301063079</v>
      </c>
      <c r="K123" s="26">
        <f t="shared" si="66"/>
        <v>2.4260089312493709</v>
      </c>
      <c r="L123" s="26">
        <f t="shared" si="67"/>
        <v>-57.191330356250212</v>
      </c>
      <c r="M123" s="27">
        <f t="shared" si="68"/>
        <v>907.90842270136932</v>
      </c>
      <c r="N123" s="27">
        <f t="shared" si="69"/>
        <v>61.572106675109033</v>
      </c>
      <c r="O123" s="27">
        <f t="shared" si="70"/>
        <v>-1451.5159644416303</v>
      </c>
      <c r="P123" s="9">
        <f t="shared" si="71"/>
        <v>-25709.997599999999</v>
      </c>
      <c r="Q123" s="27">
        <f t="shared" si="72"/>
        <v>-26192.033035065149</v>
      </c>
      <c r="R123" s="27">
        <f t="shared" si="73"/>
        <v>140419.13620834128</v>
      </c>
      <c r="S123" s="16">
        <f t="shared" si="74"/>
        <v>0.65</v>
      </c>
      <c r="T123" s="27">
        <f t="shared" si="75"/>
        <v>-17024.821472792348</v>
      </c>
      <c r="U123" s="27">
        <f t="shared" si="76"/>
        <v>91272.438535421839</v>
      </c>
    </row>
    <row r="124" spans="2:21">
      <c r="B124" s="22">
        <v>0.69869999999999999</v>
      </c>
      <c r="C124" s="26">
        <f t="shared" si="58"/>
        <v>110.79385714285715</v>
      </c>
      <c r="D124" s="29">
        <f t="shared" si="59"/>
        <v>0.78577203647416416</v>
      </c>
      <c r="E124" s="24">
        <f t="shared" si="60"/>
        <v>-2.7077313466321624E-5</v>
      </c>
      <c r="F124" s="17">
        <f t="shared" si="61"/>
        <v>8.1790119875134882E-4</v>
      </c>
      <c r="G124" s="25">
        <f t="shared" si="62"/>
        <v>4.1174149675652451E-4</v>
      </c>
      <c r="H124" s="25">
        <f t="shared" si="63"/>
        <v>-1.365741009364884E-4</v>
      </c>
      <c r="I124" s="25">
        <f t="shared" si="64"/>
        <v>-2.0455247003121628E-3</v>
      </c>
      <c r="J124" s="26">
        <f t="shared" si="65"/>
        <v>11.940503405939211</v>
      </c>
      <c r="K124" s="26">
        <f t="shared" si="66"/>
        <v>-3.9606489271581635</v>
      </c>
      <c r="L124" s="26">
        <f t="shared" si="67"/>
        <v>-59.320216309052725</v>
      </c>
      <c r="M124" s="27">
        <f t="shared" si="68"/>
        <v>554.51697817181696</v>
      </c>
      <c r="N124" s="27">
        <f t="shared" si="69"/>
        <v>-100.52126977127419</v>
      </c>
      <c r="O124" s="27">
        <f t="shared" si="70"/>
        <v>-1505.547089923758</v>
      </c>
      <c r="P124" s="9">
        <f t="shared" si="71"/>
        <v>-27687.384900000005</v>
      </c>
      <c r="Q124" s="27">
        <f t="shared" si="72"/>
        <v>-28738.93628152322</v>
      </c>
      <c r="R124" s="27">
        <f t="shared" si="73"/>
        <v>143388.91859051419</v>
      </c>
      <c r="S124" s="16">
        <f t="shared" si="74"/>
        <v>0.65</v>
      </c>
      <c r="T124" s="27">
        <f t="shared" si="75"/>
        <v>-18680.308582990092</v>
      </c>
      <c r="U124" s="27">
        <f t="shared" si="76"/>
        <v>93202.79708383423</v>
      </c>
    </row>
    <row r="125" spans="2:21">
      <c r="B125" s="22">
        <v>0.74860000000000004</v>
      </c>
      <c r="C125" s="26">
        <f t="shared" si="58"/>
        <v>118.70657142857145</v>
      </c>
      <c r="D125" s="29">
        <f t="shared" si="59"/>
        <v>0.84189057750759899</v>
      </c>
      <c r="E125" s="24">
        <f t="shared" si="60"/>
        <v>-2.5272400372587383E-5</v>
      </c>
      <c r="F125" s="17">
        <f t="shared" si="61"/>
        <v>5.6340845253482108E-4</v>
      </c>
      <c r="G125" s="25">
        <f t="shared" si="62"/>
        <v>1.8432244694601034E-4</v>
      </c>
      <c r="H125" s="25">
        <f t="shared" si="63"/>
        <v>-3.2744366059888415E-4</v>
      </c>
      <c r="I125" s="25">
        <f t="shared" si="64"/>
        <v>-2.1091478868662948E-3</v>
      </c>
      <c r="J125" s="26">
        <f t="shared" si="65"/>
        <v>5.3453509614343</v>
      </c>
      <c r="K125" s="26">
        <f t="shared" si="66"/>
        <v>-9.4958661573676402</v>
      </c>
      <c r="L125" s="26">
        <f t="shared" si="67"/>
        <v>-61.16528871912255</v>
      </c>
      <c r="M125" s="27">
        <f t="shared" si="68"/>
        <v>248.23809864900889</v>
      </c>
      <c r="N125" s="27">
        <f t="shared" si="69"/>
        <v>-241.0050830739907</v>
      </c>
      <c r="O125" s="27">
        <f t="shared" si="70"/>
        <v>-1552.3750276913302</v>
      </c>
      <c r="P125" s="9">
        <f t="shared" si="71"/>
        <v>-29664.77220000001</v>
      </c>
      <c r="Q125" s="27">
        <f t="shared" si="72"/>
        <v>-31209.914212116324</v>
      </c>
      <c r="R125" s="27">
        <f t="shared" si="73"/>
        <v>145538.42891297268</v>
      </c>
      <c r="S125" s="16">
        <f t="shared" si="74"/>
        <v>0.65</v>
      </c>
      <c r="T125" s="27">
        <f t="shared" si="75"/>
        <v>-20286.44423787561</v>
      </c>
      <c r="U125" s="27">
        <f t="shared" si="76"/>
        <v>94599.978793432252</v>
      </c>
    </row>
    <row r="126" spans="2:21">
      <c r="B126" s="22">
        <v>0.8</v>
      </c>
      <c r="C126" s="26">
        <f t="shared" si="58"/>
        <v>126.85714285714288</v>
      </c>
      <c r="D126" s="29">
        <f t="shared" si="59"/>
        <v>0.89969604863221897</v>
      </c>
      <c r="E126" s="24">
        <f t="shared" si="60"/>
        <v>-2.3648648648648646E-5</v>
      </c>
      <c r="F126" s="17">
        <f t="shared" si="61"/>
        <v>3.3445945945945898E-4</v>
      </c>
      <c r="G126" s="25">
        <f t="shared" si="62"/>
        <v>-2.02702702702707E-5</v>
      </c>
      <c r="H126" s="25">
        <f t="shared" si="63"/>
        <v>-4.9915540540540579E-4</v>
      </c>
      <c r="I126" s="25">
        <f t="shared" si="64"/>
        <v>-2.1663851351351356E-3</v>
      </c>
      <c r="J126" s="26">
        <f t="shared" si="65"/>
        <v>-0.58783783783785026</v>
      </c>
      <c r="K126" s="26">
        <f t="shared" si="66"/>
        <v>-14.475506756756769</v>
      </c>
      <c r="L126" s="26">
        <f t="shared" si="67"/>
        <v>-62.825168918918934</v>
      </c>
      <c r="M126" s="27">
        <f t="shared" si="68"/>
        <v>-27.299189189189764</v>
      </c>
      <c r="N126" s="27">
        <f t="shared" si="69"/>
        <v>-367.38836148648676</v>
      </c>
      <c r="O126" s="27">
        <f t="shared" si="70"/>
        <v>-1594.5027871621626</v>
      </c>
      <c r="P126" s="9">
        <f t="shared" si="71"/>
        <v>-31701.600000000006</v>
      </c>
      <c r="Q126" s="27">
        <f t="shared" si="72"/>
        <v>-33690.790337837847</v>
      </c>
      <c r="R126" s="27">
        <f t="shared" si="73"/>
        <v>146876.65796917229</v>
      </c>
      <c r="S126" s="16">
        <f t="shared" si="74"/>
        <v>0.65</v>
      </c>
      <c r="T126" s="27">
        <f t="shared" ref="T126:T128" si="77">Q126*S126</f>
        <v>-21899.013719594601</v>
      </c>
      <c r="U126" s="27">
        <f t="shared" ref="U126:U128" si="78">R126*S126</f>
        <v>95469.827679961993</v>
      </c>
    </row>
    <row r="127" spans="2:21">
      <c r="B127" s="22">
        <v>0.85</v>
      </c>
      <c r="C127" s="26">
        <f t="shared" si="58"/>
        <v>134.78571428571431</v>
      </c>
      <c r="D127" s="29">
        <f t="shared" si="59"/>
        <v>0.95592705167173264</v>
      </c>
      <c r="E127" s="24">
        <f t="shared" si="60"/>
        <v>-2.2257551669316373E-5</v>
      </c>
      <c r="F127" s="17">
        <f t="shared" si="61"/>
        <v>1.3831478537360844E-4</v>
      </c>
      <c r="G127" s="25">
        <f t="shared" si="62"/>
        <v>-1.9554848966613715E-4</v>
      </c>
      <c r="H127" s="25">
        <f t="shared" si="63"/>
        <v>-6.4626391096979374E-4</v>
      </c>
      <c r="I127" s="25">
        <f t="shared" si="64"/>
        <v>-2.2154213036565981E-3</v>
      </c>
      <c r="J127" s="26">
        <f t="shared" si="65"/>
        <v>-5.6709062003179778</v>
      </c>
      <c r="K127" s="26">
        <f t="shared" si="66"/>
        <v>-18.74165341812402</v>
      </c>
      <c r="L127" s="26">
        <f t="shared" si="67"/>
        <v>-64.247217806041348</v>
      </c>
      <c r="M127" s="27">
        <f t="shared" si="68"/>
        <v>-263.3568839427669</v>
      </c>
      <c r="N127" s="27">
        <f t="shared" si="69"/>
        <v>-475.66316375198761</v>
      </c>
      <c r="O127" s="27">
        <f t="shared" si="70"/>
        <v>-1630.5943879173294</v>
      </c>
      <c r="P127" s="9">
        <f t="shared" si="71"/>
        <v>-33682.950000000004</v>
      </c>
      <c r="Q127" s="27">
        <f t="shared" si="72"/>
        <v>-36052.56443561209</v>
      </c>
      <c r="R127" s="27">
        <f t="shared" si="73"/>
        <v>147311.97174672098</v>
      </c>
      <c r="S127" s="16">
        <f t="shared" si="74"/>
        <v>0.65</v>
      </c>
      <c r="T127" s="27">
        <f t="shared" si="77"/>
        <v>-23434.16688314786</v>
      </c>
      <c r="U127" s="27">
        <f t="shared" si="78"/>
        <v>95752.78163536865</v>
      </c>
    </row>
    <row r="128" spans="2:21">
      <c r="B128" s="22">
        <v>0.9</v>
      </c>
      <c r="C128" s="26">
        <f t="shared" si="58"/>
        <v>142.71428571428572</v>
      </c>
      <c r="D128" s="29">
        <f t="shared" si="59"/>
        <v>1.0121580547112463</v>
      </c>
      <c r="E128" s="24">
        <f t="shared" si="60"/>
        <v>-2.1021021021021022E-5</v>
      </c>
      <c r="F128" s="17">
        <f t="shared" si="61"/>
        <v>-3.6036036036036207E-5</v>
      </c>
      <c r="G128" s="25">
        <f t="shared" si="62"/>
        <v>-3.5135135135135151E-4</v>
      </c>
      <c r="H128" s="25">
        <f t="shared" si="63"/>
        <v>-7.7702702702702722E-4</v>
      </c>
      <c r="I128" s="25">
        <f t="shared" si="64"/>
        <v>-2.2590090090090094E-3</v>
      </c>
      <c r="J128" s="26">
        <f t="shared" si="65"/>
        <v>-10.189189189189193</v>
      </c>
      <c r="K128" s="26">
        <f t="shared" si="66"/>
        <v>-22.53378378378379</v>
      </c>
      <c r="L128" s="26">
        <f t="shared" si="67"/>
        <v>-65.511261261261268</v>
      </c>
      <c r="M128" s="27">
        <f t="shared" si="68"/>
        <v>-473.18594594594612</v>
      </c>
      <c r="N128" s="27">
        <f t="shared" si="69"/>
        <v>-571.90743243243253</v>
      </c>
      <c r="O128" s="27">
        <f t="shared" si="70"/>
        <v>-1662.6758108108108</v>
      </c>
      <c r="P128" s="9">
        <f t="shared" si="71"/>
        <v>-35664.300000000003</v>
      </c>
      <c r="Q128" s="27">
        <f t="shared" si="72"/>
        <v>-38372.069189189191</v>
      </c>
      <c r="R128" s="27">
        <f t="shared" si="73"/>
        <v>146882.37486148646</v>
      </c>
      <c r="S128" s="16">
        <f t="shared" si="74"/>
        <v>0.65</v>
      </c>
      <c r="T128" s="27">
        <f t="shared" si="77"/>
        <v>-24941.844972972976</v>
      </c>
      <c r="U128" s="27">
        <f t="shared" si="78"/>
        <v>95473.543659966206</v>
      </c>
    </row>
    <row r="129" spans="1:21">
      <c r="B129" s="22"/>
      <c r="C129" s="26"/>
      <c r="D129" s="29"/>
      <c r="E129" s="24"/>
      <c r="F129" s="17"/>
      <c r="G129" s="25"/>
      <c r="H129" s="25"/>
      <c r="I129" s="25"/>
      <c r="J129" s="26"/>
      <c r="K129" s="26"/>
      <c r="L129" s="26"/>
      <c r="M129" s="27"/>
      <c r="N129" s="27"/>
      <c r="O129" s="27"/>
      <c r="Q129" s="27"/>
      <c r="R129" s="27"/>
      <c r="S129" s="16"/>
      <c r="T129" s="27"/>
      <c r="U129" s="27"/>
    </row>
    <row r="130" spans="1:21">
      <c r="B130" s="11" t="s">
        <v>7</v>
      </c>
      <c r="D130" s="33">
        <v>8.0000000000000002E-3</v>
      </c>
      <c r="S130" s="16"/>
      <c r="T130" s="27"/>
      <c r="U130" s="27"/>
    </row>
    <row r="131" spans="1:21">
      <c r="B131" s="9" t="s">
        <v>8</v>
      </c>
      <c r="C131" s="9" t="s">
        <v>15</v>
      </c>
      <c r="D131" s="26">
        <f>D130*($D$11-2*$D$12)*$D$13</f>
        <v>61.92</v>
      </c>
      <c r="S131" s="16"/>
      <c r="T131" s="27"/>
      <c r="U131" s="27"/>
    </row>
    <row r="132" spans="1:21">
      <c r="B132" s="9" t="s">
        <v>9</v>
      </c>
      <c r="C132" s="9" t="s">
        <v>15</v>
      </c>
      <c r="D132" s="26">
        <f>D130*$D$10/2*$D$12</f>
        <v>16.920000000000002</v>
      </c>
      <c r="S132" s="16"/>
      <c r="T132" s="27"/>
      <c r="U132" s="27"/>
    </row>
    <row r="133" spans="1:21">
      <c r="B133" s="9" t="s">
        <v>10</v>
      </c>
      <c r="C133" s="9" t="s">
        <v>15</v>
      </c>
      <c r="D133" s="26">
        <f>D132</f>
        <v>16.920000000000002</v>
      </c>
      <c r="S133" s="16"/>
      <c r="T133" s="27"/>
      <c r="U133" s="27"/>
    </row>
    <row r="135" spans="1:21">
      <c r="B135" s="18" t="s">
        <v>38</v>
      </c>
      <c r="C135" s="18" t="s">
        <v>37</v>
      </c>
      <c r="D135" s="18" t="s">
        <v>47</v>
      </c>
      <c r="E135" s="19" t="s">
        <v>19</v>
      </c>
      <c r="F135" s="19" t="s">
        <v>20</v>
      </c>
      <c r="G135" s="19" t="s">
        <v>21</v>
      </c>
      <c r="H135" s="19" t="s">
        <v>22</v>
      </c>
      <c r="I135" s="19" t="s">
        <v>23</v>
      </c>
      <c r="J135" s="19" t="s">
        <v>24</v>
      </c>
      <c r="K135" s="19" t="s">
        <v>25</v>
      </c>
      <c r="L135" s="19" t="s">
        <v>26</v>
      </c>
      <c r="M135" s="19" t="s">
        <v>27</v>
      </c>
      <c r="N135" s="19" t="s">
        <v>28</v>
      </c>
      <c r="O135" s="19" t="s">
        <v>29</v>
      </c>
      <c r="P135" s="19" t="s">
        <v>30</v>
      </c>
      <c r="Q135" s="19" t="s">
        <v>31</v>
      </c>
      <c r="R135" s="19" t="s">
        <v>32</v>
      </c>
      <c r="S135" s="19" t="s">
        <v>33</v>
      </c>
      <c r="T135" s="19"/>
      <c r="U135" s="19"/>
    </row>
    <row r="136" spans="1:21">
      <c r="B136" s="20"/>
      <c r="C136" s="21" t="s">
        <v>14</v>
      </c>
      <c r="D136" s="21"/>
      <c r="E136" s="21" t="s">
        <v>39</v>
      </c>
      <c r="F136" s="20"/>
      <c r="G136" s="20"/>
      <c r="H136" s="20"/>
      <c r="I136" s="20"/>
      <c r="J136" s="21" t="s">
        <v>13</v>
      </c>
      <c r="K136" s="21" t="s">
        <v>13</v>
      </c>
      <c r="L136" s="21" t="s">
        <v>13</v>
      </c>
      <c r="M136" s="21" t="s">
        <v>41</v>
      </c>
      <c r="N136" s="21" t="s">
        <v>41</v>
      </c>
      <c r="O136" s="21" t="s">
        <v>41</v>
      </c>
      <c r="P136" s="21" t="s">
        <v>41</v>
      </c>
      <c r="Q136" s="21" t="s">
        <v>41</v>
      </c>
      <c r="R136" s="21" t="s">
        <v>42</v>
      </c>
      <c r="S136" s="21"/>
      <c r="T136" s="21"/>
      <c r="U136" s="21"/>
    </row>
    <row r="137" spans="1:21">
      <c r="A137" s="15" t="s">
        <v>36</v>
      </c>
      <c r="B137" s="22"/>
      <c r="C137" s="23"/>
      <c r="D137" s="23"/>
      <c r="E137" s="24"/>
      <c r="F137" s="17"/>
      <c r="G137" s="25"/>
      <c r="H137" s="25"/>
      <c r="I137" s="25"/>
      <c r="J137" s="26"/>
      <c r="K137" s="26"/>
      <c r="L137" s="26"/>
      <c r="M137" s="27"/>
      <c r="N137" s="27"/>
      <c r="O137" s="27"/>
      <c r="P137" s="27"/>
      <c r="Q137" s="27"/>
      <c r="R137" s="27"/>
      <c r="S137" s="16"/>
      <c r="T137" s="27"/>
      <c r="U137" s="27"/>
    </row>
    <row r="138" spans="1:21">
      <c r="B138" s="22">
        <v>1.0000000000000001E-5</v>
      </c>
      <c r="C138" s="23">
        <f t="shared" ref="C138:C156" si="79">B138/$D$15*$D$13</f>
        <v>4.285714285714286E-4</v>
      </c>
      <c r="D138" s="29">
        <f>C138/$D$10</f>
        <v>3.0395136778115506E-6</v>
      </c>
      <c r="E138" s="24">
        <f t="shared" ref="E138:E156" si="80">-0.003/C138</f>
        <v>-7</v>
      </c>
      <c r="F138" s="17">
        <f t="shared" ref="F138:F156" si="81">E138*(C138-$D$10)</f>
        <v>986.99700000000007</v>
      </c>
      <c r="G138" s="25">
        <f t="shared" ref="G138:G156" si="82">E138*(C138-$D$20)</f>
        <v>104.997</v>
      </c>
      <c r="H138" s="25">
        <f t="shared" ref="H138:H156" si="83">E138*(C138-$D$21)</f>
        <v>246.74700000000001</v>
      </c>
      <c r="I138" s="25">
        <f t="shared" ref="I138:I156" si="84">E138*(C138-$D$22)</f>
        <v>740.24699999999996</v>
      </c>
      <c r="J138" s="26">
        <f t="shared" ref="J138:J156" si="85">SIGN(G138)*MIN($D$8*ABS(G138),$D$7)</f>
        <v>80</v>
      </c>
      <c r="K138" s="26">
        <f t="shared" ref="K138:K156" si="86">SIGN(H138)*MIN($D$8*ABS(H138),$D$7)</f>
        <v>80</v>
      </c>
      <c r="L138" s="26">
        <f t="shared" ref="L138:L156" si="87">SIGN(I138)*MIN($D$8*ABS(I138),$D$7)</f>
        <v>80</v>
      </c>
      <c r="M138" s="27">
        <f t="shared" ref="M138:M156" si="88">$D$131*J138</f>
        <v>4953.6000000000004</v>
      </c>
      <c r="N138" s="27">
        <f t="shared" ref="N138:N156" si="89">$D$132*K138*2</f>
        <v>2707.2000000000003</v>
      </c>
      <c r="O138" s="27">
        <f t="shared" ref="O138:O156" si="90">$D$133*L138*2</f>
        <v>2707.2000000000003</v>
      </c>
      <c r="P138" s="27">
        <f t="shared" ref="P138:P156" si="91">$D$15*C138*$D$11*(-0.85*$D$6)</f>
        <v>-0.56763000000000008</v>
      </c>
      <c r="Q138" s="27">
        <f t="shared" ref="Q138:Q156" si="92">SUM(M138:P138)</f>
        <v>10367.432370000002</v>
      </c>
      <c r="R138" s="27">
        <f t="shared" ref="R138:R156" si="93">(P138*($D$18-$D$15*C138/2)+M138*($D$18-$D$20)+N138*($D$18-$D$21)+O138*($D$18-$D$22))/12</f>
        <v>-2.0805145296229361</v>
      </c>
      <c r="S138" s="16">
        <f>MAX(0.65,MIN(0.9,0.65+(F138-0.002)*250/3))</f>
        <v>0.9</v>
      </c>
      <c r="T138" s="27">
        <f t="shared" ref="T138:T156" si="94">S138*Q138</f>
        <v>9330.6891330000017</v>
      </c>
      <c r="U138" s="27">
        <f t="shared" ref="U138:U156" si="95">S138*R138</f>
        <v>-1.8724630766606425</v>
      </c>
    </row>
    <row r="139" spans="1:21">
      <c r="B139" s="22">
        <v>0.05</v>
      </c>
      <c r="C139" s="23">
        <f t="shared" si="79"/>
        <v>2.1428571428571432</v>
      </c>
      <c r="D139" s="29">
        <f t="shared" ref="D139:D155" si="96">C139/$D$10</f>
        <v>1.5197568389057753E-2</v>
      </c>
      <c r="E139" s="24">
        <f t="shared" si="80"/>
        <v>-1.3999999999999998E-3</v>
      </c>
      <c r="F139" s="17">
        <f t="shared" si="81"/>
        <v>0.19439999999999996</v>
      </c>
      <c r="G139" s="25">
        <f t="shared" si="82"/>
        <v>1.7999999999999999E-2</v>
      </c>
      <c r="H139" s="25">
        <f t="shared" si="83"/>
        <v>4.6349999999999988E-2</v>
      </c>
      <c r="I139" s="25">
        <f t="shared" si="84"/>
        <v>0.14504999999999998</v>
      </c>
      <c r="J139" s="26">
        <f t="shared" si="85"/>
        <v>80</v>
      </c>
      <c r="K139" s="26">
        <f t="shared" si="86"/>
        <v>80</v>
      </c>
      <c r="L139" s="26">
        <f t="shared" si="87"/>
        <v>80</v>
      </c>
      <c r="M139" s="27">
        <f t="shared" si="88"/>
        <v>4953.6000000000004</v>
      </c>
      <c r="N139" s="27">
        <f t="shared" si="89"/>
        <v>2707.2000000000003</v>
      </c>
      <c r="O139" s="27">
        <f t="shared" si="90"/>
        <v>2707.2000000000003</v>
      </c>
      <c r="P139" s="27">
        <f t="shared" si="91"/>
        <v>-2838.1500000000005</v>
      </c>
      <c r="Q139" s="27">
        <f t="shared" si="92"/>
        <v>7529.8500000000013</v>
      </c>
      <c r="R139" s="27">
        <f t="shared" si="93"/>
        <v>-10225.223749999999</v>
      </c>
      <c r="S139" s="16">
        <f t="shared" ref="S139:S156" si="97">MAX(0.65,MIN(0.9,0.65+(F139-0.002)*250/3))</f>
        <v>0.9</v>
      </c>
      <c r="T139" s="27">
        <f t="shared" si="94"/>
        <v>6776.8650000000016</v>
      </c>
      <c r="U139" s="27">
        <f t="shared" si="95"/>
        <v>-9202.7013749999987</v>
      </c>
    </row>
    <row r="140" spans="1:21">
      <c r="B140" s="22">
        <v>0.1</v>
      </c>
      <c r="C140" s="23">
        <f t="shared" si="79"/>
        <v>4.2857142857142865</v>
      </c>
      <c r="D140" s="29">
        <f t="shared" si="96"/>
        <v>3.0395136778115506E-2</v>
      </c>
      <c r="E140" s="24">
        <f t="shared" si="80"/>
        <v>-6.9999999999999988E-4</v>
      </c>
      <c r="F140" s="17">
        <f t="shared" si="81"/>
        <v>9.5699999999999993E-2</v>
      </c>
      <c r="G140" s="25">
        <f t="shared" si="82"/>
        <v>7.499999999999998E-3</v>
      </c>
      <c r="H140" s="25">
        <f t="shared" si="83"/>
        <v>2.1674999999999996E-2</v>
      </c>
      <c r="I140" s="25">
        <f t="shared" si="84"/>
        <v>7.1024999999999991E-2</v>
      </c>
      <c r="J140" s="26">
        <f t="shared" si="85"/>
        <v>80</v>
      </c>
      <c r="K140" s="26">
        <f t="shared" si="86"/>
        <v>80</v>
      </c>
      <c r="L140" s="26">
        <f t="shared" si="87"/>
        <v>80</v>
      </c>
      <c r="M140" s="27">
        <f t="shared" si="88"/>
        <v>4953.6000000000004</v>
      </c>
      <c r="N140" s="27">
        <f t="shared" si="89"/>
        <v>2707.2000000000003</v>
      </c>
      <c r="O140" s="27">
        <f t="shared" si="90"/>
        <v>2707.2000000000003</v>
      </c>
      <c r="P140" s="27">
        <f t="shared" si="91"/>
        <v>-5676.3000000000011</v>
      </c>
      <c r="Q140" s="27">
        <f t="shared" si="92"/>
        <v>4691.7000000000007</v>
      </c>
      <c r="R140" s="27">
        <f t="shared" si="93"/>
        <v>-20095.678750000003</v>
      </c>
      <c r="S140" s="16">
        <f t="shared" si="97"/>
        <v>0.9</v>
      </c>
      <c r="T140" s="27">
        <f t="shared" si="94"/>
        <v>4222.5300000000007</v>
      </c>
      <c r="U140" s="27">
        <f t="shared" si="95"/>
        <v>-18086.110875000002</v>
      </c>
    </row>
    <row r="141" spans="1:21">
      <c r="B141" s="22">
        <v>0.15</v>
      </c>
      <c r="C141" s="23">
        <f t="shared" si="79"/>
        <v>6.4285714285714288</v>
      </c>
      <c r="D141" s="29">
        <f t="shared" si="96"/>
        <v>4.5592705167173252E-2</v>
      </c>
      <c r="E141" s="24">
        <f t="shared" si="80"/>
        <v>-4.6666666666666666E-4</v>
      </c>
      <c r="F141" s="17">
        <f t="shared" si="81"/>
        <v>6.2800000000000009E-2</v>
      </c>
      <c r="G141" s="25">
        <f t="shared" si="82"/>
        <v>4.0000000000000001E-3</v>
      </c>
      <c r="H141" s="25">
        <f t="shared" si="83"/>
        <v>1.3449999999999998E-2</v>
      </c>
      <c r="I141" s="25">
        <f t="shared" si="84"/>
        <v>4.6349999999999995E-2</v>
      </c>
      <c r="J141" s="26">
        <f t="shared" si="85"/>
        <v>80</v>
      </c>
      <c r="K141" s="26">
        <f t="shared" si="86"/>
        <v>80</v>
      </c>
      <c r="L141" s="26">
        <f t="shared" si="87"/>
        <v>80</v>
      </c>
      <c r="M141" s="27">
        <f t="shared" si="88"/>
        <v>4953.6000000000004</v>
      </c>
      <c r="N141" s="27">
        <f t="shared" si="89"/>
        <v>2707.2000000000003</v>
      </c>
      <c r="O141" s="27">
        <f t="shared" si="90"/>
        <v>2707.2000000000003</v>
      </c>
      <c r="P141" s="27">
        <f t="shared" si="91"/>
        <v>-8514.4500000000007</v>
      </c>
      <c r="Q141" s="27">
        <f t="shared" si="92"/>
        <v>1853.5500000000011</v>
      </c>
      <c r="R141" s="27">
        <f t="shared" si="93"/>
        <v>-29611.365000000002</v>
      </c>
      <c r="S141" s="16">
        <f t="shared" si="97"/>
        <v>0.9</v>
      </c>
      <c r="T141" s="27">
        <f t="shared" si="94"/>
        <v>1668.1950000000011</v>
      </c>
      <c r="U141" s="27">
        <f t="shared" si="95"/>
        <v>-26650.228500000001</v>
      </c>
    </row>
    <row r="142" spans="1:21">
      <c r="B142" s="22">
        <v>0.2</v>
      </c>
      <c r="C142" s="23">
        <f t="shared" si="79"/>
        <v>8.571428571428573</v>
      </c>
      <c r="D142" s="29">
        <f t="shared" si="96"/>
        <v>6.0790273556231011E-2</v>
      </c>
      <c r="E142" s="24">
        <f t="shared" si="80"/>
        <v>-3.4999999999999994E-4</v>
      </c>
      <c r="F142" s="17">
        <f t="shared" si="81"/>
        <v>4.6349999999999988E-2</v>
      </c>
      <c r="G142" s="25">
        <f t="shared" si="82"/>
        <v>2.249999999999999E-3</v>
      </c>
      <c r="H142" s="25">
        <f t="shared" si="83"/>
        <v>9.3374999999999986E-3</v>
      </c>
      <c r="I142" s="25">
        <f t="shared" si="84"/>
        <v>3.4012499999999994E-2</v>
      </c>
      <c r="J142" s="26">
        <f t="shared" si="85"/>
        <v>65.249999999999972</v>
      </c>
      <c r="K142" s="26">
        <f t="shared" si="86"/>
        <v>80</v>
      </c>
      <c r="L142" s="26">
        <f t="shared" si="87"/>
        <v>80</v>
      </c>
      <c r="M142" s="27">
        <f t="shared" si="88"/>
        <v>4040.2799999999984</v>
      </c>
      <c r="N142" s="27">
        <f t="shared" si="89"/>
        <v>2707.2000000000003</v>
      </c>
      <c r="O142" s="27">
        <f t="shared" si="90"/>
        <v>2707.2000000000003</v>
      </c>
      <c r="P142" s="27">
        <f t="shared" si="91"/>
        <v>-11352.600000000002</v>
      </c>
      <c r="Q142" s="27">
        <f t="shared" si="92"/>
        <v>-1897.9200000000037</v>
      </c>
      <c r="R142" s="27">
        <f t="shared" si="93"/>
        <v>-40978.204000000005</v>
      </c>
      <c r="S142" s="16">
        <f t="shared" si="97"/>
        <v>0.9</v>
      </c>
      <c r="T142" s="27">
        <f t="shared" si="94"/>
        <v>-1708.1280000000033</v>
      </c>
      <c r="U142" s="27">
        <f t="shared" si="95"/>
        <v>-36880.383600000008</v>
      </c>
    </row>
    <row r="143" spans="1:21">
      <c r="B143" s="22">
        <v>0.25</v>
      </c>
      <c r="C143" s="23">
        <f t="shared" si="79"/>
        <v>10.714285714285715</v>
      </c>
      <c r="D143" s="29">
        <f t="shared" si="96"/>
        <v>7.5987841945288764E-2</v>
      </c>
      <c r="E143" s="24">
        <f t="shared" si="80"/>
        <v>-2.7999999999999998E-4</v>
      </c>
      <c r="F143" s="17">
        <f t="shared" si="81"/>
        <v>3.6479999999999992E-2</v>
      </c>
      <c r="G143" s="25">
        <f t="shared" si="82"/>
        <v>1.1999999999999997E-3</v>
      </c>
      <c r="H143" s="25">
        <f t="shared" si="83"/>
        <v>6.8699999999999994E-3</v>
      </c>
      <c r="I143" s="25">
        <f t="shared" si="84"/>
        <v>2.6609999999999995E-2</v>
      </c>
      <c r="J143" s="26">
        <f t="shared" si="85"/>
        <v>34.79999999999999</v>
      </c>
      <c r="K143" s="26">
        <f t="shared" si="86"/>
        <v>80</v>
      </c>
      <c r="L143" s="26">
        <f t="shared" si="87"/>
        <v>80</v>
      </c>
      <c r="M143" s="27">
        <f t="shared" si="88"/>
        <v>2154.8159999999993</v>
      </c>
      <c r="N143" s="27">
        <f t="shared" si="89"/>
        <v>2707.2000000000003</v>
      </c>
      <c r="O143" s="27">
        <f t="shared" si="90"/>
        <v>2707.2000000000003</v>
      </c>
      <c r="P143" s="27">
        <f t="shared" si="91"/>
        <v>-14190.75</v>
      </c>
      <c r="Q143" s="27">
        <f t="shared" si="92"/>
        <v>-6621.5339999999997</v>
      </c>
      <c r="R143" s="27">
        <f t="shared" si="93"/>
        <v>-54338.272050000007</v>
      </c>
      <c r="S143" s="16">
        <f t="shared" si="97"/>
        <v>0.9</v>
      </c>
      <c r="T143" s="27">
        <f t="shared" si="94"/>
        <v>-5959.3805999999995</v>
      </c>
      <c r="U143" s="27">
        <f t="shared" si="95"/>
        <v>-48904.444845000005</v>
      </c>
    </row>
    <row r="144" spans="1:21">
      <c r="B144" s="22">
        <v>0.3</v>
      </c>
      <c r="C144" s="23">
        <f t="shared" si="79"/>
        <v>12.857142857142858</v>
      </c>
      <c r="D144" s="29">
        <f t="shared" si="96"/>
        <v>9.1185410334346503E-2</v>
      </c>
      <c r="E144" s="24">
        <f t="shared" si="80"/>
        <v>-2.3333333333333333E-4</v>
      </c>
      <c r="F144" s="17">
        <f t="shared" si="81"/>
        <v>2.9899999999999999E-2</v>
      </c>
      <c r="G144" s="25">
        <f t="shared" si="82"/>
        <v>4.999999999999999E-4</v>
      </c>
      <c r="H144" s="25">
        <f t="shared" si="83"/>
        <v>5.2249999999999996E-3</v>
      </c>
      <c r="I144" s="25">
        <f t="shared" si="84"/>
        <v>2.1675E-2</v>
      </c>
      <c r="J144" s="26">
        <f t="shared" si="85"/>
        <v>14.499999999999996</v>
      </c>
      <c r="K144" s="26">
        <f t="shared" si="86"/>
        <v>80</v>
      </c>
      <c r="L144" s="26">
        <f t="shared" si="87"/>
        <v>80</v>
      </c>
      <c r="M144" s="27">
        <f t="shared" si="88"/>
        <v>897.8399999999998</v>
      </c>
      <c r="N144" s="27">
        <f t="shared" si="89"/>
        <v>2707.2000000000003</v>
      </c>
      <c r="O144" s="27">
        <f t="shared" si="90"/>
        <v>2707.2000000000003</v>
      </c>
      <c r="P144" s="27">
        <f t="shared" si="91"/>
        <v>-17028.900000000001</v>
      </c>
      <c r="Q144" s="27">
        <f t="shared" si="92"/>
        <v>-10716.660000000002</v>
      </c>
      <c r="R144" s="27">
        <f t="shared" si="93"/>
        <v>-65825.59825000001</v>
      </c>
      <c r="S144" s="16">
        <f t="shared" si="97"/>
        <v>0.9</v>
      </c>
      <c r="T144" s="27">
        <f t="shared" si="94"/>
        <v>-9644.9940000000024</v>
      </c>
      <c r="U144" s="27">
        <f t="shared" si="95"/>
        <v>-59243.038425000013</v>
      </c>
    </row>
    <row r="145" spans="1:21">
      <c r="B145" s="22">
        <v>0.35</v>
      </c>
      <c r="C145" s="23">
        <f t="shared" si="79"/>
        <v>15</v>
      </c>
      <c r="D145" s="29">
        <f t="shared" si="96"/>
        <v>0.10638297872340426</v>
      </c>
      <c r="E145" s="24">
        <f t="shared" si="80"/>
        <v>-2.0000000000000001E-4</v>
      </c>
      <c r="F145" s="17">
        <f t="shared" si="81"/>
        <v>2.52E-2</v>
      </c>
      <c r="G145" s="25">
        <f t="shared" si="82"/>
        <v>0</v>
      </c>
      <c r="H145" s="25">
        <f t="shared" si="83"/>
        <v>4.0499999999999998E-3</v>
      </c>
      <c r="I145" s="25">
        <f t="shared" si="84"/>
        <v>1.8149999999999999E-2</v>
      </c>
      <c r="J145" s="26">
        <f t="shared" si="85"/>
        <v>0</v>
      </c>
      <c r="K145" s="26">
        <f t="shared" si="86"/>
        <v>80</v>
      </c>
      <c r="L145" s="26">
        <f t="shared" si="87"/>
        <v>80</v>
      </c>
      <c r="M145" s="27">
        <f t="shared" si="88"/>
        <v>0</v>
      </c>
      <c r="N145" s="27">
        <f t="shared" si="89"/>
        <v>2707.2000000000003</v>
      </c>
      <c r="O145" s="27">
        <f t="shared" si="90"/>
        <v>2707.2000000000003</v>
      </c>
      <c r="P145" s="27">
        <f t="shared" si="91"/>
        <v>-19867.05</v>
      </c>
      <c r="Q145" s="27">
        <f t="shared" si="92"/>
        <v>-14452.649999999998</v>
      </c>
      <c r="R145" s="27">
        <f t="shared" si="93"/>
        <v>-76090.742499999993</v>
      </c>
      <c r="S145" s="16">
        <f t="shared" si="97"/>
        <v>0.9</v>
      </c>
      <c r="T145" s="27">
        <f t="shared" si="94"/>
        <v>-13007.384999999998</v>
      </c>
      <c r="U145" s="27">
        <f t="shared" si="95"/>
        <v>-68481.668250000002</v>
      </c>
    </row>
    <row r="146" spans="1:21">
      <c r="B146" s="22">
        <v>0.4</v>
      </c>
      <c r="C146" s="23">
        <f t="shared" si="79"/>
        <v>17.142857142857146</v>
      </c>
      <c r="D146" s="29">
        <f t="shared" si="96"/>
        <v>0.12158054711246202</v>
      </c>
      <c r="E146" s="24">
        <f t="shared" si="80"/>
        <v>-1.7499999999999997E-4</v>
      </c>
      <c r="F146" s="17">
        <f t="shared" si="81"/>
        <v>2.1674999999999996E-2</v>
      </c>
      <c r="G146" s="25">
        <f t="shared" si="82"/>
        <v>-3.750000000000005E-4</v>
      </c>
      <c r="H146" s="25">
        <f t="shared" si="83"/>
        <v>3.1687499999999988E-3</v>
      </c>
      <c r="I146" s="25">
        <f t="shared" si="84"/>
        <v>1.5506249999999997E-2</v>
      </c>
      <c r="J146" s="26">
        <f t="shared" si="85"/>
        <v>-10.875000000000014</v>
      </c>
      <c r="K146" s="26">
        <f t="shared" si="86"/>
        <v>80</v>
      </c>
      <c r="L146" s="26">
        <f t="shared" si="87"/>
        <v>80</v>
      </c>
      <c r="M146" s="27">
        <f t="shared" si="88"/>
        <v>-673.3800000000009</v>
      </c>
      <c r="N146" s="27">
        <f t="shared" si="89"/>
        <v>2707.2000000000003</v>
      </c>
      <c r="O146" s="27">
        <f t="shared" si="90"/>
        <v>2707.2000000000003</v>
      </c>
      <c r="P146" s="27">
        <f t="shared" si="91"/>
        <v>-22705.200000000004</v>
      </c>
      <c r="Q146" s="27">
        <f t="shared" si="92"/>
        <v>-17964.180000000004</v>
      </c>
      <c r="R146" s="27">
        <f t="shared" si="93"/>
        <v>-85458.984750000018</v>
      </c>
      <c r="S146" s="16">
        <f t="shared" si="97"/>
        <v>0.9</v>
      </c>
      <c r="T146" s="27">
        <f t="shared" si="94"/>
        <v>-16167.762000000004</v>
      </c>
      <c r="U146" s="27">
        <f t="shared" si="95"/>
        <v>-76913.086275000023</v>
      </c>
    </row>
    <row r="147" spans="1:21">
      <c r="B147" s="22">
        <v>0.45</v>
      </c>
      <c r="C147" s="23">
        <f t="shared" si="79"/>
        <v>19.285714285714288</v>
      </c>
      <c r="D147" s="29">
        <f t="shared" si="96"/>
        <v>0.13677811550151978</v>
      </c>
      <c r="E147" s="24">
        <f t="shared" si="80"/>
        <v>-1.5555555555555554E-4</v>
      </c>
      <c r="F147" s="17">
        <f t="shared" si="81"/>
        <v>1.893333333333333E-2</v>
      </c>
      <c r="G147" s="25">
        <f t="shared" si="82"/>
        <v>-6.6666666666666697E-4</v>
      </c>
      <c r="H147" s="25">
        <f t="shared" si="83"/>
        <v>2.4833333333333326E-3</v>
      </c>
      <c r="I147" s="25">
        <f t="shared" si="84"/>
        <v>1.3449999999999997E-2</v>
      </c>
      <c r="J147" s="26">
        <f t="shared" si="85"/>
        <v>-19.333333333333343</v>
      </c>
      <c r="K147" s="26">
        <f t="shared" si="86"/>
        <v>72.016666666666652</v>
      </c>
      <c r="L147" s="26">
        <f t="shared" si="87"/>
        <v>80</v>
      </c>
      <c r="M147" s="27">
        <f t="shared" si="88"/>
        <v>-1197.1200000000006</v>
      </c>
      <c r="N147" s="27">
        <f t="shared" si="89"/>
        <v>2437.0439999999999</v>
      </c>
      <c r="O147" s="27">
        <f t="shared" si="90"/>
        <v>2707.2000000000003</v>
      </c>
      <c r="P147" s="27">
        <f t="shared" si="91"/>
        <v>-25543.350000000006</v>
      </c>
      <c r="Q147" s="27">
        <f t="shared" si="92"/>
        <v>-21596.226000000006</v>
      </c>
      <c r="R147" s="27">
        <f t="shared" si="93"/>
        <v>-94307.649616666706</v>
      </c>
      <c r="S147" s="16">
        <f t="shared" si="97"/>
        <v>0.9</v>
      </c>
      <c r="T147" s="27">
        <f t="shared" si="94"/>
        <v>-19436.603400000007</v>
      </c>
      <c r="U147" s="27">
        <f t="shared" si="95"/>
        <v>-84876.884655000031</v>
      </c>
    </row>
    <row r="148" spans="1:21">
      <c r="B148" s="22">
        <v>0.5</v>
      </c>
      <c r="C148" s="23">
        <f t="shared" si="79"/>
        <v>21.428571428571431</v>
      </c>
      <c r="D148" s="29">
        <f t="shared" si="96"/>
        <v>0.15197568389057753</v>
      </c>
      <c r="E148" s="24">
        <f t="shared" si="80"/>
        <v>-1.3999999999999999E-4</v>
      </c>
      <c r="F148" s="17">
        <f t="shared" si="81"/>
        <v>1.6739999999999998E-2</v>
      </c>
      <c r="G148" s="25">
        <f t="shared" si="82"/>
        <v>-9.0000000000000019E-4</v>
      </c>
      <c r="H148" s="25">
        <f t="shared" si="83"/>
        <v>1.9349999999999997E-3</v>
      </c>
      <c r="I148" s="25">
        <f t="shared" si="84"/>
        <v>1.1805E-2</v>
      </c>
      <c r="J148" s="26">
        <f t="shared" si="85"/>
        <v>-26.100000000000005</v>
      </c>
      <c r="K148" s="26">
        <f t="shared" si="86"/>
        <v>56.114999999999988</v>
      </c>
      <c r="L148" s="26">
        <f t="shared" si="87"/>
        <v>80</v>
      </c>
      <c r="M148" s="27">
        <f t="shared" si="88"/>
        <v>-1616.1120000000003</v>
      </c>
      <c r="N148" s="27">
        <f t="shared" si="89"/>
        <v>1898.9315999999999</v>
      </c>
      <c r="O148" s="27">
        <f t="shared" si="90"/>
        <v>2707.2000000000003</v>
      </c>
      <c r="P148" s="27">
        <f t="shared" si="91"/>
        <v>-28381.5</v>
      </c>
      <c r="Q148" s="27">
        <f t="shared" si="92"/>
        <v>-25391.4804</v>
      </c>
      <c r="R148" s="27">
        <f t="shared" si="93"/>
        <v>-102743.56293</v>
      </c>
      <c r="S148" s="16">
        <f t="shared" si="97"/>
        <v>0.9</v>
      </c>
      <c r="T148" s="27">
        <f t="shared" si="94"/>
        <v>-22852.33236</v>
      </c>
      <c r="U148" s="27">
        <f t="shared" si="95"/>
        <v>-92469.206636999996</v>
      </c>
    </row>
    <row r="149" spans="1:21">
      <c r="B149" s="22">
        <v>0.55000000000000004</v>
      </c>
      <c r="C149" s="23">
        <f t="shared" si="79"/>
        <v>23.571428571428573</v>
      </c>
      <c r="D149" s="29">
        <f t="shared" si="96"/>
        <v>0.16717325227963528</v>
      </c>
      <c r="E149" s="24">
        <f t="shared" si="80"/>
        <v>-1.2727272727272725E-4</v>
      </c>
      <c r="F149" s="17">
        <f t="shared" si="81"/>
        <v>1.4945454545454543E-2</v>
      </c>
      <c r="G149" s="25">
        <f t="shared" si="82"/>
        <v>-1.090909090909091E-3</v>
      </c>
      <c r="H149" s="25">
        <f t="shared" si="83"/>
        <v>1.4863636363636359E-3</v>
      </c>
      <c r="I149" s="25">
        <f t="shared" si="84"/>
        <v>1.0459090909090907E-2</v>
      </c>
      <c r="J149" s="26">
        <f t="shared" si="85"/>
        <v>-31.636363636363637</v>
      </c>
      <c r="K149" s="26">
        <f t="shared" si="86"/>
        <v>43.104545454545445</v>
      </c>
      <c r="L149" s="26">
        <f t="shared" si="87"/>
        <v>80</v>
      </c>
      <c r="M149" s="27">
        <f t="shared" si="88"/>
        <v>-1958.9236363636364</v>
      </c>
      <c r="N149" s="27">
        <f t="shared" si="89"/>
        <v>1458.6578181818179</v>
      </c>
      <c r="O149" s="27">
        <f t="shared" si="90"/>
        <v>2707.2000000000003</v>
      </c>
      <c r="P149" s="27">
        <f t="shared" si="91"/>
        <v>-31219.65</v>
      </c>
      <c r="Q149" s="27">
        <f t="shared" si="92"/>
        <v>-29012.715818181819</v>
      </c>
      <c r="R149" s="27">
        <f t="shared" si="93"/>
        <v>-110569.50598181819</v>
      </c>
      <c r="S149" s="16">
        <f t="shared" si="97"/>
        <v>0.9</v>
      </c>
      <c r="T149" s="27">
        <f t="shared" si="94"/>
        <v>-26111.444236363637</v>
      </c>
      <c r="U149" s="27">
        <f t="shared" si="95"/>
        <v>-99512.555383636369</v>
      </c>
    </row>
    <row r="150" spans="1:21">
      <c r="B150" s="22">
        <v>0.6</v>
      </c>
      <c r="C150" s="23">
        <f t="shared" si="79"/>
        <v>25.714285714285715</v>
      </c>
      <c r="D150" s="29">
        <f t="shared" si="96"/>
        <v>0.18237082066869301</v>
      </c>
      <c r="E150" s="24">
        <f t="shared" si="80"/>
        <v>-1.1666666666666667E-4</v>
      </c>
      <c r="F150" s="17">
        <f t="shared" si="81"/>
        <v>1.3449999999999998E-2</v>
      </c>
      <c r="G150" s="25">
        <f t="shared" si="82"/>
        <v>-1.25E-3</v>
      </c>
      <c r="H150" s="25">
        <f t="shared" si="83"/>
        <v>1.1124999999999998E-3</v>
      </c>
      <c r="I150" s="25">
        <f t="shared" si="84"/>
        <v>9.3374999999999986E-3</v>
      </c>
      <c r="J150" s="26">
        <f t="shared" si="85"/>
        <v>-36.25</v>
      </c>
      <c r="K150" s="26">
        <f t="shared" si="86"/>
        <v>32.262499999999996</v>
      </c>
      <c r="L150" s="26">
        <f t="shared" si="87"/>
        <v>80</v>
      </c>
      <c r="M150" s="27">
        <f t="shared" si="88"/>
        <v>-2244.6</v>
      </c>
      <c r="N150" s="27">
        <f t="shared" si="89"/>
        <v>1091.7629999999999</v>
      </c>
      <c r="O150" s="27">
        <f t="shared" si="90"/>
        <v>2707.2000000000003</v>
      </c>
      <c r="P150" s="27">
        <f t="shared" si="91"/>
        <v>-34057.800000000003</v>
      </c>
      <c r="Q150" s="27">
        <f t="shared" si="92"/>
        <v>-32503.437000000002</v>
      </c>
      <c r="R150" s="27">
        <f t="shared" si="93"/>
        <v>-117849.27915</v>
      </c>
      <c r="S150" s="16">
        <f t="shared" si="97"/>
        <v>0.9</v>
      </c>
      <c r="T150" s="27">
        <f t="shared" si="94"/>
        <v>-29253.0933</v>
      </c>
      <c r="U150" s="27">
        <f t="shared" si="95"/>
        <v>-106064.35123500001</v>
      </c>
    </row>
    <row r="151" spans="1:21">
      <c r="B151" s="22">
        <v>0.65</v>
      </c>
      <c r="C151" s="23">
        <f t="shared" si="79"/>
        <v>27.857142857142861</v>
      </c>
      <c r="D151" s="29">
        <f t="shared" si="96"/>
        <v>0.19756838905775079</v>
      </c>
      <c r="E151" s="24">
        <f t="shared" si="80"/>
        <v>-1.0769230769230768E-4</v>
      </c>
      <c r="F151" s="17">
        <f t="shared" si="81"/>
        <v>1.2184615384615382E-2</v>
      </c>
      <c r="G151" s="25">
        <f t="shared" si="82"/>
        <v>-1.384615384615385E-3</v>
      </c>
      <c r="H151" s="25">
        <f t="shared" si="83"/>
        <v>7.9615384615384563E-4</v>
      </c>
      <c r="I151" s="25">
        <f t="shared" si="84"/>
        <v>8.3884615384615373E-3</v>
      </c>
      <c r="J151" s="26">
        <f t="shared" si="85"/>
        <v>-40.15384615384616</v>
      </c>
      <c r="K151" s="26">
        <f t="shared" si="86"/>
        <v>23.088461538461523</v>
      </c>
      <c r="L151" s="26">
        <f t="shared" si="87"/>
        <v>80</v>
      </c>
      <c r="M151" s="27">
        <f t="shared" si="88"/>
        <v>-2486.3261538461543</v>
      </c>
      <c r="N151" s="27">
        <f t="shared" si="89"/>
        <v>781.31353846153797</v>
      </c>
      <c r="O151" s="27">
        <f t="shared" si="90"/>
        <v>2707.2000000000003</v>
      </c>
      <c r="P151" s="27">
        <f t="shared" si="91"/>
        <v>-36895.950000000004</v>
      </c>
      <c r="Q151" s="27">
        <f t="shared" si="92"/>
        <v>-35893.762615384621</v>
      </c>
      <c r="R151" s="27">
        <f t="shared" si="93"/>
        <v>-124627.0519269231</v>
      </c>
      <c r="S151" s="16">
        <f t="shared" si="97"/>
        <v>0.9</v>
      </c>
      <c r="T151" s="27">
        <f t="shared" si="94"/>
        <v>-32304.386353846159</v>
      </c>
      <c r="U151" s="27">
        <f t="shared" si="95"/>
        <v>-112164.3467342308</v>
      </c>
    </row>
    <row r="152" spans="1:21">
      <c r="B152" s="22">
        <v>0.7</v>
      </c>
      <c r="C152" s="23">
        <f t="shared" si="79"/>
        <v>30</v>
      </c>
      <c r="D152" s="29">
        <f t="shared" si="96"/>
        <v>0.21276595744680851</v>
      </c>
      <c r="E152" s="24">
        <f t="shared" si="80"/>
        <v>-1E-4</v>
      </c>
      <c r="F152" s="17">
        <f t="shared" si="81"/>
        <v>1.11E-2</v>
      </c>
      <c r="G152" s="25">
        <f t="shared" si="82"/>
        <v>-1.5E-3</v>
      </c>
      <c r="H152" s="25">
        <f t="shared" si="83"/>
        <v>5.2500000000000008E-4</v>
      </c>
      <c r="I152" s="25">
        <f t="shared" si="84"/>
        <v>7.5750000000000001E-3</v>
      </c>
      <c r="J152" s="26">
        <f t="shared" si="85"/>
        <v>-43.5</v>
      </c>
      <c r="K152" s="26">
        <f t="shared" si="86"/>
        <v>15.225000000000001</v>
      </c>
      <c r="L152" s="26">
        <f t="shared" si="87"/>
        <v>80</v>
      </c>
      <c r="M152" s="27">
        <f t="shared" si="88"/>
        <v>-2693.52</v>
      </c>
      <c r="N152" s="27">
        <f t="shared" si="89"/>
        <v>515.21400000000006</v>
      </c>
      <c r="O152" s="27">
        <f t="shared" si="90"/>
        <v>2707.2000000000003</v>
      </c>
      <c r="P152" s="27">
        <f t="shared" si="91"/>
        <v>-39734.1</v>
      </c>
      <c r="Q152" s="27">
        <f t="shared" si="92"/>
        <v>-39205.205999999998</v>
      </c>
      <c r="R152" s="27">
        <f t="shared" si="93"/>
        <v>-130934.37394999999</v>
      </c>
      <c r="S152" s="16">
        <f t="shared" si="97"/>
        <v>0.9</v>
      </c>
      <c r="T152" s="27">
        <f t="shared" si="94"/>
        <v>-35284.685400000002</v>
      </c>
      <c r="U152" s="27">
        <f t="shared" si="95"/>
        <v>-117840.93655499999</v>
      </c>
    </row>
    <row r="153" spans="1:21">
      <c r="B153" s="22">
        <v>0.75</v>
      </c>
      <c r="C153" s="23">
        <f t="shared" si="79"/>
        <v>32.142857142857139</v>
      </c>
      <c r="D153" s="29">
        <f t="shared" si="96"/>
        <v>0.22796352583586624</v>
      </c>
      <c r="E153" s="24">
        <f t="shared" si="80"/>
        <v>-9.3333333333333343E-5</v>
      </c>
      <c r="F153" s="17">
        <f t="shared" si="81"/>
        <v>1.0160000000000001E-2</v>
      </c>
      <c r="G153" s="25">
        <f t="shared" si="82"/>
        <v>-1.5999999999999999E-3</v>
      </c>
      <c r="H153" s="25">
        <f t="shared" si="83"/>
        <v>2.9000000000000044E-4</v>
      </c>
      <c r="I153" s="25">
        <f t="shared" si="84"/>
        <v>6.8700000000000011E-3</v>
      </c>
      <c r="J153" s="26">
        <f t="shared" si="85"/>
        <v>-46.4</v>
      </c>
      <c r="K153" s="26">
        <f t="shared" si="86"/>
        <v>8.4100000000000126</v>
      </c>
      <c r="L153" s="26">
        <f t="shared" si="87"/>
        <v>80</v>
      </c>
      <c r="M153" s="27">
        <f t="shared" si="88"/>
        <v>-2873.0880000000002</v>
      </c>
      <c r="N153" s="27">
        <f t="shared" si="89"/>
        <v>284.59440000000046</v>
      </c>
      <c r="O153" s="27">
        <f t="shared" si="90"/>
        <v>2707.2000000000003</v>
      </c>
      <c r="P153" s="27">
        <f t="shared" si="91"/>
        <v>-42572.249999999993</v>
      </c>
      <c r="Q153" s="27">
        <f t="shared" si="92"/>
        <v>-42453.54359999999</v>
      </c>
      <c r="R153" s="27">
        <f t="shared" si="93"/>
        <v>-136794.38162</v>
      </c>
      <c r="S153" s="16">
        <f t="shared" si="97"/>
        <v>0.9</v>
      </c>
      <c r="T153" s="27">
        <f t="shared" si="94"/>
        <v>-38208.189239999992</v>
      </c>
      <c r="U153" s="27">
        <f t="shared" si="95"/>
        <v>-123114.94345800001</v>
      </c>
    </row>
    <row r="154" spans="1:21">
      <c r="B154" s="22">
        <v>0.8</v>
      </c>
      <c r="C154" s="23">
        <f t="shared" si="79"/>
        <v>34.285714285714292</v>
      </c>
      <c r="D154" s="29">
        <f t="shared" si="96"/>
        <v>0.24316109422492405</v>
      </c>
      <c r="E154" s="24">
        <f t="shared" si="80"/>
        <v>-8.7499999999999986E-5</v>
      </c>
      <c r="F154" s="17">
        <f t="shared" si="81"/>
        <v>9.3374999999999986E-3</v>
      </c>
      <c r="G154" s="25">
        <f t="shared" si="82"/>
        <v>-1.6875000000000002E-3</v>
      </c>
      <c r="H154" s="25">
        <f t="shared" si="83"/>
        <v>8.4374999999999449E-5</v>
      </c>
      <c r="I154" s="25">
        <f t="shared" si="84"/>
        <v>6.2531249999999983E-3</v>
      </c>
      <c r="J154" s="26">
        <f t="shared" si="85"/>
        <v>-48.937500000000007</v>
      </c>
      <c r="K154" s="26">
        <f t="shared" si="86"/>
        <v>2.4468749999999839</v>
      </c>
      <c r="L154" s="26">
        <f t="shared" si="87"/>
        <v>80</v>
      </c>
      <c r="M154" s="27">
        <f t="shared" si="88"/>
        <v>-3030.2100000000005</v>
      </c>
      <c r="N154" s="27">
        <f t="shared" si="89"/>
        <v>82.802249999999461</v>
      </c>
      <c r="O154" s="27">
        <f t="shared" si="90"/>
        <v>2707.2000000000003</v>
      </c>
      <c r="P154" s="27">
        <f t="shared" si="91"/>
        <v>-45410.400000000009</v>
      </c>
      <c r="Q154" s="27">
        <f t="shared" si="92"/>
        <v>-45650.60775000001</v>
      </c>
      <c r="R154" s="27">
        <f t="shared" si="93"/>
        <v>-142224.42723750003</v>
      </c>
      <c r="S154" s="16">
        <f t="shared" si="97"/>
        <v>0.9</v>
      </c>
      <c r="T154" s="27">
        <f t="shared" si="94"/>
        <v>-41085.546975000012</v>
      </c>
      <c r="U154" s="27">
        <f t="shared" si="95"/>
        <v>-128001.98451375002</v>
      </c>
    </row>
    <row r="155" spans="1:21">
      <c r="B155" s="22">
        <v>0.85</v>
      </c>
      <c r="C155" s="23">
        <f t="shared" si="79"/>
        <v>36.428571428571431</v>
      </c>
      <c r="D155" s="29">
        <f t="shared" si="96"/>
        <v>0.25835866261398177</v>
      </c>
      <c r="E155" s="24">
        <f t="shared" si="80"/>
        <v>-8.2352941176470581E-5</v>
      </c>
      <c r="F155" s="17">
        <f t="shared" si="81"/>
        <v>8.6117647058823518E-3</v>
      </c>
      <c r="G155" s="25">
        <f t="shared" si="82"/>
        <v>-1.7647058823529412E-3</v>
      </c>
      <c r="H155" s="25">
        <f t="shared" si="83"/>
        <v>-9.7058823529411919E-5</v>
      </c>
      <c r="I155" s="25">
        <f t="shared" si="84"/>
        <v>5.7088235294117644E-3</v>
      </c>
      <c r="J155" s="26">
        <f t="shared" si="85"/>
        <v>-51.176470588235297</v>
      </c>
      <c r="K155" s="26">
        <f t="shared" si="86"/>
        <v>-2.8147058823529458</v>
      </c>
      <c r="L155" s="26">
        <f t="shared" si="87"/>
        <v>80</v>
      </c>
      <c r="M155" s="27">
        <f t="shared" si="88"/>
        <v>-3168.8470588235296</v>
      </c>
      <c r="N155" s="27">
        <f t="shared" si="89"/>
        <v>-95.249647058823697</v>
      </c>
      <c r="O155" s="27">
        <f t="shared" si="90"/>
        <v>2707.2000000000003</v>
      </c>
      <c r="P155" s="27">
        <f t="shared" si="91"/>
        <v>-48248.55</v>
      </c>
      <c r="Q155" s="27">
        <f t="shared" si="92"/>
        <v>-48805.446705882357</v>
      </c>
      <c r="R155" s="27">
        <f t="shared" si="93"/>
        <v>-147237.78020882353</v>
      </c>
      <c r="S155" s="16">
        <f t="shared" si="97"/>
        <v>0.9</v>
      </c>
      <c r="T155" s="27">
        <f t="shared" si="94"/>
        <v>-43924.902035294122</v>
      </c>
      <c r="U155" s="27">
        <f t="shared" si="95"/>
        <v>-132514.00218794119</v>
      </c>
    </row>
    <row r="156" spans="1:21">
      <c r="B156" s="22">
        <v>0.9</v>
      </c>
      <c r="C156" s="23">
        <f t="shared" si="79"/>
        <v>38.571428571428577</v>
      </c>
      <c r="D156" s="29">
        <f>C156/$D$10</f>
        <v>0.27355623100303955</v>
      </c>
      <c r="E156" s="24">
        <f t="shared" si="80"/>
        <v>-7.7777777777777768E-5</v>
      </c>
      <c r="F156" s="17">
        <f t="shared" si="81"/>
        <v>7.9666666666666653E-3</v>
      </c>
      <c r="G156" s="25">
        <f t="shared" si="82"/>
        <v>-1.8333333333333335E-3</v>
      </c>
      <c r="H156" s="25">
        <f t="shared" si="83"/>
        <v>-2.5833333333333372E-4</v>
      </c>
      <c r="I156" s="25">
        <f t="shared" si="84"/>
        <v>5.2249999999999987E-3</v>
      </c>
      <c r="J156" s="26">
        <f t="shared" si="85"/>
        <v>-53.166666666666671</v>
      </c>
      <c r="K156" s="26">
        <f t="shared" si="86"/>
        <v>-7.4916666666666778</v>
      </c>
      <c r="L156" s="26">
        <f t="shared" si="87"/>
        <v>80</v>
      </c>
      <c r="M156" s="27">
        <f t="shared" si="88"/>
        <v>-3292.0800000000004</v>
      </c>
      <c r="N156" s="27">
        <f t="shared" si="89"/>
        <v>-253.5180000000004</v>
      </c>
      <c r="O156" s="27">
        <f t="shared" si="90"/>
        <v>2707.2000000000003</v>
      </c>
      <c r="P156" s="27">
        <f t="shared" si="91"/>
        <v>-51086.700000000012</v>
      </c>
      <c r="Q156" s="27">
        <f t="shared" si="92"/>
        <v>-51925.098000000013</v>
      </c>
      <c r="R156" s="27">
        <f t="shared" si="93"/>
        <v>-151844.76118333338</v>
      </c>
      <c r="S156" s="16">
        <f t="shared" si="97"/>
        <v>0.9</v>
      </c>
      <c r="T156" s="27">
        <f t="shared" si="94"/>
        <v>-46732.588200000013</v>
      </c>
      <c r="U156" s="27">
        <f t="shared" si="95"/>
        <v>-136660.28506500003</v>
      </c>
    </row>
    <row r="158" spans="1:21">
      <c r="B158" s="18" t="s">
        <v>43</v>
      </c>
      <c r="C158" s="18" t="s">
        <v>37</v>
      </c>
      <c r="D158" s="18" t="s">
        <v>47</v>
      </c>
      <c r="E158" s="19" t="s">
        <v>19</v>
      </c>
      <c r="F158" s="19" t="s">
        <v>20</v>
      </c>
      <c r="G158" s="19" t="s">
        <v>21</v>
      </c>
      <c r="H158" s="19" t="s">
        <v>22</v>
      </c>
      <c r="I158" s="19" t="s">
        <v>23</v>
      </c>
      <c r="J158" s="19" t="s">
        <v>24</v>
      </c>
      <c r="K158" s="19" t="s">
        <v>25</v>
      </c>
      <c r="L158" s="19" t="s">
        <v>26</v>
      </c>
      <c r="M158" s="19" t="s">
        <v>27</v>
      </c>
      <c r="N158" s="19" t="s">
        <v>28</v>
      </c>
      <c r="O158" s="19" t="s">
        <v>29</v>
      </c>
      <c r="P158" s="19" t="s">
        <v>30</v>
      </c>
      <c r="Q158" s="19" t="s">
        <v>31</v>
      </c>
      <c r="R158" s="19" t="s">
        <v>32</v>
      </c>
      <c r="S158" s="19" t="s">
        <v>33</v>
      </c>
      <c r="T158" s="19"/>
      <c r="U158" s="19"/>
    </row>
    <row r="159" spans="1:21">
      <c r="C159" s="21" t="s">
        <v>14</v>
      </c>
      <c r="D159" s="21"/>
      <c r="E159" s="21" t="s">
        <v>39</v>
      </c>
      <c r="F159" s="20"/>
      <c r="G159" s="20"/>
      <c r="H159" s="20"/>
      <c r="I159" s="20"/>
      <c r="J159" s="21" t="s">
        <v>13</v>
      </c>
      <c r="K159" s="21" t="s">
        <v>13</v>
      </c>
      <c r="L159" s="21" t="s">
        <v>13</v>
      </c>
      <c r="M159" s="21" t="s">
        <v>41</v>
      </c>
      <c r="N159" s="21" t="s">
        <v>41</v>
      </c>
      <c r="O159" s="21" t="s">
        <v>41</v>
      </c>
      <c r="P159" s="21" t="s">
        <v>41</v>
      </c>
      <c r="Q159" s="21" t="s">
        <v>41</v>
      </c>
      <c r="R159" s="21" t="s">
        <v>42</v>
      </c>
      <c r="S159" s="21"/>
      <c r="T159" s="21"/>
      <c r="U159" s="21"/>
    </row>
    <row r="160" spans="1:21">
      <c r="A160" s="15" t="s">
        <v>44</v>
      </c>
      <c r="B160" s="22"/>
      <c r="C160" s="23"/>
      <c r="D160" s="23"/>
      <c r="E160" s="24"/>
      <c r="F160" s="17"/>
      <c r="G160" s="25"/>
      <c r="H160" s="25"/>
      <c r="I160" s="25"/>
      <c r="J160" s="26"/>
      <c r="K160" s="26"/>
      <c r="L160" s="26"/>
      <c r="M160" s="27"/>
      <c r="N160" s="27"/>
      <c r="O160" s="27"/>
      <c r="P160" s="27"/>
      <c r="Q160" s="27"/>
      <c r="R160" s="27"/>
      <c r="S160" s="16"/>
      <c r="T160" s="27"/>
      <c r="U160" s="27"/>
    </row>
    <row r="161" spans="2:21">
      <c r="B161" s="22">
        <v>1.0000000000000001E-5</v>
      </c>
      <c r="C161" s="30">
        <f>B161/$D$15*($D$10-$D$13)</f>
        <v>1.5857142857142858E-3</v>
      </c>
      <c r="D161" s="29">
        <f>C161/$D$10</f>
        <v>1.1246200607902737E-5</v>
      </c>
      <c r="E161" s="24">
        <f>-0.003/C161</f>
        <v>-1.8918918918918919</v>
      </c>
      <c r="F161" s="17">
        <f>E161*(C161-$D$10)</f>
        <v>266.75375675675679</v>
      </c>
      <c r="G161" s="25">
        <f>E161*(C161-$D$10+$D$20)</f>
        <v>238.37537837837837</v>
      </c>
      <c r="H161" s="25">
        <f>E161*(C161-$D$10+$D$21)</f>
        <v>200.06456756756756</v>
      </c>
      <c r="I161" s="25">
        <f>E161*(C161-$D$10+$D$22)</f>
        <v>66.686189189189193</v>
      </c>
      <c r="J161" s="26">
        <f>SIGN(G161)*MIN($D$8*ABS(G161),$D$7)</f>
        <v>80</v>
      </c>
      <c r="K161" s="26">
        <f>SIGN(H161)*MIN($D$8*ABS(H161),$D$7)</f>
        <v>80</v>
      </c>
      <c r="L161" s="26">
        <f>SIGN(I161)*MIN($D$8*ABS(I161),$D$7)</f>
        <v>80</v>
      </c>
      <c r="M161" s="27">
        <f>J161*$D$131</f>
        <v>4953.6000000000004</v>
      </c>
      <c r="N161" s="27">
        <f>K161*$D$132*2</f>
        <v>2707.2000000000003</v>
      </c>
      <c r="O161" s="27">
        <f>L161*$D$133*2</f>
        <v>2707.2000000000003</v>
      </c>
      <c r="P161" s="9">
        <f>$D$15*C161*2*$D$12*(-0.85*$D$6)</f>
        <v>-0.39626999999999996</v>
      </c>
      <c r="Q161" s="27">
        <f>SUM(M161:P161)</f>
        <v>10367.603730000003</v>
      </c>
      <c r="R161" s="27">
        <f>(P161*(-$D$10+$D$18+$D$15*C161/2)+M161*($D$18-$D$20)+N161*($D$18-$D$21)+O161*($D$18-$D$22))/12</f>
        <v>3.2037145475139064</v>
      </c>
      <c r="S161" s="16">
        <f>MAX(0.65,MIN(0.9,0.65+(F161-0.002)*250/3))</f>
        <v>0.9</v>
      </c>
      <c r="T161" s="27">
        <f>Q161*S161</f>
        <v>9330.8433570000034</v>
      </c>
      <c r="U161" s="27">
        <f>R161*S161</f>
        <v>2.8833430927625159</v>
      </c>
    </row>
    <row r="162" spans="2:21">
      <c r="B162" s="22">
        <v>0.05</v>
      </c>
      <c r="C162" s="26">
        <f t="shared" ref="C162:C178" si="98">B162/$D$15*($D$10-$D$13)</f>
        <v>7.9285714285714297</v>
      </c>
      <c r="D162" s="31">
        <f t="shared" ref="D162:D176" si="99">C162/$D$10</f>
        <v>5.6231003039513686E-2</v>
      </c>
      <c r="E162" s="24">
        <f t="shared" ref="E162:E176" si="100">-0.003/C162</f>
        <v>-3.7837837837837834E-4</v>
      </c>
      <c r="F162" s="17">
        <f t="shared" ref="F162:F176" si="101">E162*(C162-$D$10)</f>
        <v>5.0351351351351353E-2</v>
      </c>
      <c r="G162" s="25">
        <f t="shared" ref="G162:G176" si="102">E162*(C162-$D$10+$D$20)</f>
        <v>4.4675675675675673E-2</v>
      </c>
      <c r="H162" s="25">
        <f t="shared" ref="H162:H176" si="103">E162*(C162-$D$10+$D$21)</f>
        <v>3.7013513513513514E-2</v>
      </c>
      <c r="I162" s="25">
        <f t="shared" ref="I162:I176" si="104">E162*(C162-$D$10+$D$22)</f>
        <v>1.0337837837837842E-2</v>
      </c>
      <c r="J162" s="26">
        <f t="shared" ref="J162:J176" si="105">SIGN(G162)*MIN($D$8*ABS(G162),$D$7)</f>
        <v>80</v>
      </c>
      <c r="K162" s="26">
        <f t="shared" ref="K162:K176" si="106">SIGN(H162)*MIN($D$8*ABS(H162),$D$7)</f>
        <v>80</v>
      </c>
      <c r="L162" s="26">
        <f t="shared" ref="L162:L176" si="107">SIGN(I162)*MIN($D$8*ABS(I162),$D$7)</f>
        <v>80</v>
      </c>
      <c r="M162" s="27">
        <f t="shared" ref="M162:M176" si="108">J162*$D$131</f>
        <v>4953.6000000000004</v>
      </c>
      <c r="N162" s="27">
        <f t="shared" ref="N162:N178" si="109">K162*$D$132*2</f>
        <v>2707.2000000000003</v>
      </c>
      <c r="O162" s="27">
        <f t="shared" ref="O162:O178" si="110">L162*$D$133*2</f>
        <v>2707.2000000000003</v>
      </c>
      <c r="P162" s="9">
        <f t="shared" ref="P162:P176" si="111">$D$15*C162*2*$D$12*(-0.85*$D$6)</f>
        <v>-1981.3500000000004</v>
      </c>
      <c r="Q162" s="27">
        <f t="shared" ref="Q162:Q176" si="112">SUM(M162:P162)</f>
        <v>8386.6500000000015</v>
      </c>
      <c r="R162" s="27">
        <f t="shared" ref="R162:R178" si="113">(P162*(-$D$10+$D$18+$D$15*C162/2)+M162*($D$18-$D$20)+N162*($D$18-$D$21)+O162*($D$18-$D$22))/12</f>
        <v>15560.477187500002</v>
      </c>
      <c r="S162" s="16">
        <f t="shared" ref="S162:S178" si="114">MAX(0.65,MIN(0.9,0.65+(F162-0.002)*250/3))</f>
        <v>0.9</v>
      </c>
      <c r="T162" s="27">
        <f t="shared" ref="T162:T176" si="115">Q162*S162</f>
        <v>7547.9850000000015</v>
      </c>
      <c r="U162" s="27">
        <f t="shared" ref="U162:U176" si="116">R162*S162</f>
        <v>14004.429468750002</v>
      </c>
    </row>
    <row r="163" spans="2:21">
      <c r="B163" s="22">
        <v>9.9900000000000003E-2</v>
      </c>
      <c r="C163" s="26">
        <f t="shared" si="98"/>
        <v>15.841285714285718</v>
      </c>
      <c r="D163" s="31">
        <f t="shared" si="99"/>
        <v>0.11234954407294835</v>
      </c>
      <c r="E163" s="24">
        <f t="shared" si="100"/>
        <v>-1.8937856775694609E-4</v>
      </c>
      <c r="F163" s="17">
        <f t="shared" si="101"/>
        <v>2.3702378053729399E-2</v>
      </c>
      <c r="G163" s="25">
        <f t="shared" si="102"/>
        <v>2.0861699537375208E-2</v>
      </c>
      <c r="H163" s="25">
        <f t="shared" si="103"/>
        <v>1.702678354029705E-2</v>
      </c>
      <c r="I163" s="25">
        <f t="shared" si="104"/>
        <v>3.6755945134323495E-3</v>
      </c>
      <c r="J163" s="26">
        <f t="shared" si="105"/>
        <v>80</v>
      </c>
      <c r="K163" s="26">
        <f t="shared" si="106"/>
        <v>80</v>
      </c>
      <c r="L163" s="26">
        <f t="shared" si="107"/>
        <v>80</v>
      </c>
      <c r="M163" s="27">
        <f t="shared" si="108"/>
        <v>4953.6000000000004</v>
      </c>
      <c r="N163" s="27">
        <f t="shared" si="109"/>
        <v>2707.2000000000003</v>
      </c>
      <c r="O163" s="27">
        <f t="shared" si="110"/>
        <v>2707.2000000000003</v>
      </c>
      <c r="P163" s="9">
        <f t="shared" si="111"/>
        <v>-3958.7373000000011</v>
      </c>
      <c r="Q163" s="27">
        <f t="shared" si="112"/>
        <v>6409.2627000000011</v>
      </c>
      <c r="R163" s="27">
        <f t="shared" si="113"/>
        <v>30176.206336001265</v>
      </c>
      <c r="S163" s="16">
        <f t="shared" si="114"/>
        <v>0.9</v>
      </c>
      <c r="T163" s="27">
        <f t="shared" si="115"/>
        <v>5768.3364300000012</v>
      </c>
      <c r="U163" s="27">
        <f t="shared" si="116"/>
        <v>27158.585702401138</v>
      </c>
    </row>
    <row r="164" spans="2:21">
      <c r="B164" s="22">
        <v>0.14979999999999999</v>
      </c>
      <c r="C164" s="26">
        <f t="shared" si="98"/>
        <v>23.753999999999998</v>
      </c>
      <c r="D164" s="31">
        <f t="shared" si="99"/>
        <v>0.16846808510638298</v>
      </c>
      <c r="E164" s="24">
        <f t="shared" si="100"/>
        <v>-1.2629451881788332E-4</v>
      </c>
      <c r="F164" s="17">
        <f t="shared" si="101"/>
        <v>1.4807527153321549E-2</v>
      </c>
      <c r="G164" s="25">
        <f t="shared" si="102"/>
        <v>1.2913109371053298E-2</v>
      </c>
      <c r="H164" s="25">
        <f t="shared" si="103"/>
        <v>1.0355645364991161E-2</v>
      </c>
      <c r="I164" s="25">
        <f t="shared" si="104"/>
        <v>1.4518817883303879E-3</v>
      </c>
      <c r="J164" s="26">
        <f t="shared" si="105"/>
        <v>80</v>
      </c>
      <c r="K164" s="26">
        <f t="shared" si="106"/>
        <v>80</v>
      </c>
      <c r="L164" s="26">
        <f t="shared" si="107"/>
        <v>42.104571861581249</v>
      </c>
      <c r="M164" s="27">
        <f t="shared" si="108"/>
        <v>4953.6000000000004</v>
      </c>
      <c r="N164" s="27">
        <f t="shared" si="109"/>
        <v>2707.2000000000003</v>
      </c>
      <c r="O164" s="27">
        <f t="shared" si="110"/>
        <v>1424.8187117959096</v>
      </c>
      <c r="P164" s="9">
        <f t="shared" si="111"/>
        <v>-5936.1245999999992</v>
      </c>
      <c r="Q164" s="27">
        <f t="shared" si="112"/>
        <v>3149.4941117959115</v>
      </c>
      <c r="R164" s="27">
        <f t="shared" si="113"/>
        <v>50479.924405511039</v>
      </c>
      <c r="S164" s="16">
        <f t="shared" si="114"/>
        <v>0.9</v>
      </c>
      <c r="T164" s="27">
        <f t="shared" si="115"/>
        <v>2834.5447006163204</v>
      </c>
      <c r="U164" s="27">
        <f t="shared" si="116"/>
        <v>45431.931964959935</v>
      </c>
    </row>
    <row r="165" spans="2:21">
      <c r="B165" s="22">
        <v>0.19969999999999999</v>
      </c>
      <c r="C165" s="26">
        <f t="shared" si="98"/>
        <v>31.666714285714288</v>
      </c>
      <c r="D165" s="31">
        <f t="shared" si="99"/>
        <v>0.22458662613981764</v>
      </c>
      <c r="E165" s="24">
        <f t="shared" si="100"/>
        <v>-9.4736699644060673E-5</v>
      </c>
      <c r="F165" s="17">
        <f t="shared" si="101"/>
        <v>1.0357874649812554E-2</v>
      </c>
      <c r="G165" s="25">
        <f t="shared" si="102"/>
        <v>8.9368241551516445E-3</v>
      </c>
      <c r="H165" s="25">
        <f t="shared" si="103"/>
        <v>7.0184059873594157E-3</v>
      </c>
      <c r="I165" s="25">
        <f t="shared" si="104"/>
        <v>3.3946866245313851E-4</v>
      </c>
      <c r="J165" s="26">
        <f t="shared" si="105"/>
        <v>80</v>
      </c>
      <c r="K165" s="26">
        <f t="shared" si="106"/>
        <v>80</v>
      </c>
      <c r="L165" s="26">
        <f t="shared" si="107"/>
        <v>9.844591211141017</v>
      </c>
      <c r="M165" s="27">
        <f t="shared" si="108"/>
        <v>4953.6000000000004</v>
      </c>
      <c r="N165" s="27">
        <f t="shared" si="109"/>
        <v>2707.2000000000003</v>
      </c>
      <c r="O165" s="27">
        <f t="shared" si="110"/>
        <v>333.14096658501205</v>
      </c>
      <c r="P165" s="9">
        <f t="shared" si="111"/>
        <v>-7913.5119000000013</v>
      </c>
      <c r="Q165" s="27">
        <f t="shared" si="112"/>
        <v>80.429066585012151</v>
      </c>
      <c r="R165" s="27">
        <f t="shared" si="113"/>
        <v>68889.336417672312</v>
      </c>
      <c r="S165" s="16">
        <f t="shared" si="114"/>
        <v>0.9</v>
      </c>
      <c r="T165" s="27">
        <f t="shared" si="115"/>
        <v>72.386159926510942</v>
      </c>
      <c r="U165" s="27">
        <f t="shared" si="116"/>
        <v>62000.40277590508</v>
      </c>
    </row>
    <row r="166" spans="2:21">
      <c r="B166" s="22">
        <v>0.24959999999999999</v>
      </c>
      <c r="C166" s="26">
        <f t="shared" si="98"/>
        <v>39.579428571428572</v>
      </c>
      <c r="D166" s="29">
        <f t="shared" si="99"/>
        <v>0.28070516717325228</v>
      </c>
      <c r="E166" s="24">
        <f t="shared" si="100"/>
        <v>-7.5796950796950792E-5</v>
      </c>
      <c r="F166" s="17">
        <f t="shared" si="101"/>
        <v>7.687370062370062E-3</v>
      </c>
      <c r="G166" s="25">
        <f t="shared" si="102"/>
        <v>6.5504158004158009E-3</v>
      </c>
      <c r="H166" s="25">
        <f t="shared" si="103"/>
        <v>5.0155275467775474E-3</v>
      </c>
      <c r="I166" s="25">
        <f t="shared" si="104"/>
        <v>-3.2815748440748389E-4</v>
      </c>
      <c r="J166" s="26">
        <f t="shared" si="105"/>
        <v>80</v>
      </c>
      <c r="K166" s="26">
        <f t="shared" si="106"/>
        <v>80</v>
      </c>
      <c r="L166" s="26">
        <f t="shared" si="107"/>
        <v>-9.5165670478170323</v>
      </c>
      <c r="M166" s="27">
        <f t="shared" si="108"/>
        <v>4953.6000000000004</v>
      </c>
      <c r="N166" s="27">
        <f t="shared" si="109"/>
        <v>2707.2000000000003</v>
      </c>
      <c r="O166" s="27">
        <f t="shared" si="110"/>
        <v>-322.04062889812843</v>
      </c>
      <c r="P166" s="9">
        <f t="shared" si="111"/>
        <v>-9890.8991999999998</v>
      </c>
      <c r="Q166" s="27">
        <f t="shared" si="112"/>
        <v>-2552.1398288981272</v>
      </c>
      <c r="R166" s="27">
        <f t="shared" si="113"/>
        <v>84139.293205042864</v>
      </c>
      <c r="S166" s="16">
        <f t="shared" si="114"/>
        <v>0.9</v>
      </c>
      <c r="T166" s="27">
        <f t="shared" si="115"/>
        <v>-2296.9258460083147</v>
      </c>
      <c r="U166" s="27">
        <f t="shared" si="116"/>
        <v>75725.363884538587</v>
      </c>
    </row>
    <row r="167" spans="2:21">
      <c r="B167" s="22">
        <v>0.29949999999999999</v>
      </c>
      <c r="C167" s="26">
        <f t="shared" si="98"/>
        <v>47.492142857142859</v>
      </c>
      <c r="D167" s="29">
        <f t="shared" si="99"/>
        <v>0.33682370820668694</v>
      </c>
      <c r="E167" s="24">
        <f t="shared" si="100"/>
        <v>-6.3168343635789382E-5</v>
      </c>
      <c r="F167" s="17">
        <f t="shared" si="101"/>
        <v>5.9067364526463034E-3</v>
      </c>
      <c r="G167" s="25">
        <f t="shared" si="102"/>
        <v>4.9592112981094623E-3</v>
      </c>
      <c r="H167" s="25">
        <f t="shared" si="103"/>
        <v>3.6800523394847273E-3</v>
      </c>
      <c r="I167" s="25">
        <f t="shared" si="104"/>
        <v>-7.733158868384241E-4</v>
      </c>
      <c r="J167" s="26">
        <f t="shared" si="105"/>
        <v>80</v>
      </c>
      <c r="K167" s="26">
        <f t="shared" si="106"/>
        <v>80</v>
      </c>
      <c r="L167" s="26">
        <f t="shared" si="107"/>
        <v>-22.4261607183143</v>
      </c>
      <c r="M167" s="27">
        <f t="shared" si="108"/>
        <v>4953.6000000000004</v>
      </c>
      <c r="N167" s="27">
        <f t="shared" si="109"/>
        <v>2707.2000000000003</v>
      </c>
      <c r="O167" s="27">
        <f t="shared" si="110"/>
        <v>-758.90127870775598</v>
      </c>
      <c r="P167" s="9">
        <f t="shared" si="111"/>
        <v>-11868.2865</v>
      </c>
      <c r="Q167" s="27">
        <f t="shared" si="112"/>
        <v>-4966.3877787077554</v>
      </c>
      <c r="R167" s="27">
        <f t="shared" si="113"/>
        <v>97352.791026268693</v>
      </c>
      <c r="S167" s="16">
        <f t="shared" si="114"/>
        <v>0.9</v>
      </c>
      <c r="T167" s="27">
        <f t="shared" si="115"/>
        <v>-4469.7490008369796</v>
      </c>
      <c r="U167" s="27">
        <f t="shared" si="116"/>
        <v>87617.511923641825</v>
      </c>
    </row>
    <row r="168" spans="2:21">
      <c r="B168" s="22">
        <v>0.34939999999999999</v>
      </c>
      <c r="C168" s="26">
        <f t="shared" si="98"/>
        <v>55.404857142857146</v>
      </c>
      <c r="D168" s="29">
        <f t="shared" si="99"/>
        <v>0.39294224924012161</v>
      </c>
      <c r="E168" s="24">
        <f t="shared" si="100"/>
        <v>-5.4146877272235026E-5</v>
      </c>
      <c r="F168" s="17">
        <f t="shared" si="101"/>
        <v>4.6347096953851391E-3</v>
      </c>
      <c r="G168" s="25">
        <f t="shared" si="102"/>
        <v>3.8225065363016136E-3</v>
      </c>
      <c r="H168" s="25">
        <f t="shared" si="103"/>
        <v>2.7260322715388545E-3</v>
      </c>
      <c r="I168" s="25">
        <f t="shared" si="104"/>
        <v>-1.0913225761537151E-3</v>
      </c>
      <c r="J168" s="26">
        <f t="shared" si="105"/>
        <v>80</v>
      </c>
      <c r="K168" s="26">
        <f t="shared" si="106"/>
        <v>79.054935874626779</v>
      </c>
      <c r="L168" s="26">
        <f t="shared" si="107"/>
        <v>-31.648354708457738</v>
      </c>
      <c r="M168" s="27">
        <f t="shared" si="108"/>
        <v>4953.6000000000004</v>
      </c>
      <c r="N168" s="27">
        <f t="shared" si="109"/>
        <v>2675.2190299973704</v>
      </c>
      <c r="O168" s="27">
        <f t="shared" si="110"/>
        <v>-1070.98032333421</v>
      </c>
      <c r="P168" s="9">
        <f t="shared" si="111"/>
        <v>-13845.6738</v>
      </c>
      <c r="Q168" s="27">
        <f t="shared" si="112"/>
        <v>-7287.8350933368401</v>
      </c>
      <c r="R168" s="27">
        <f t="shared" si="113"/>
        <v>108988.0226140939</v>
      </c>
      <c r="S168" s="16">
        <f t="shared" si="114"/>
        <v>0.86955914128209499</v>
      </c>
      <c r="T168" s="27">
        <f t="shared" si="115"/>
        <v>-6337.2036255674993</v>
      </c>
      <c r="U168" s="27">
        <f t="shared" si="116"/>
        <v>94771.531354345047</v>
      </c>
    </row>
    <row r="169" spans="2:21">
      <c r="B169" s="22">
        <v>0.39929999999999999</v>
      </c>
      <c r="C169" s="26">
        <f t="shared" si="98"/>
        <v>63.317571428571426</v>
      </c>
      <c r="D169" s="29">
        <f t="shared" si="99"/>
        <v>0.44906079027355622</v>
      </c>
      <c r="E169" s="24">
        <f t="shared" si="100"/>
        <v>-4.7380212669468872E-5</v>
      </c>
      <c r="F169" s="17">
        <f t="shared" si="101"/>
        <v>3.6806099863951106E-3</v>
      </c>
      <c r="G169" s="25">
        <f t="shared" si="102"/>
        <v>2.9699067963530777E-3</v>
      </c>
      <c r="H169" s="25">
        <f t="shared" si="103"/>
        <v>2.010457489796333E-3</v>
      </c>
      <c r="I169" s="25">
        <f t="shared" si="104"/>
        <v>-1.3298475034012225E-3</v>
      </c>
      <c r="J169" s="26">
        <f t="shared" si="105"/>
        <v>80</v>
      </c>
      <c r="K169" s="26">
        <f t="shared" si="106"/>
        <v>58.303267204093657</v>
      </c>
      <c r="L169" s="26">
        <f t="shared" si="107"/>
        <v>-38.56557759863545</v>
      </c>
      <c r="M169" s="27">
        <f t="shared" si="108"/>
        <v>4953.6000000000004</v>
      </c>
      <c r="N169" s="27">
        <f t="shared" si="109"/>
        <v>1972.9825621865295</v>
      </c>
      <c r="O169" s="27">
        <f t="shared" si="110"/>
        <v>-1305.0591459378238</v>
      </c>
      <c r="P169" s="9">
        <f t="shared" si="111"/>
        <v>-15823.061099999999</v>
      </c>
      <c r="Q169" s="27">
        <f t="shared" si="112"/>
        <v>-10201.537683751292</v>
      </c>
      <c r="R169" s="27">
        <f t="shared" si="113"/>
        <v>118821.26012604918</v>
      </c>
      <c r="S169" s="16">
        <f t="shared" si="114"/>
        <v>0.7900508321995926</v>
      </c>
      <c r="T169" s="27">
        <f t="shared" si="115"/>
        <v>-8059.7333367632127</v>
      </c>
      <c r="U169" s="27">
        <f t="shared" si="116"/>
        <v>93874.83544558943</v>
      </c>
    </row>
    <row r="170" spans="2:21">
      <c r="B170" s="22">
        <v>0.44919999999999999</v>
      </c>
      <c r="C170" s="26">
        <f t="shared" si="98"/>
        <v>71.230285714285728</v>
      </c>
      <c r="D170" s="29">
        <f t="shared" si="99"/>
        <v>0.505179331306991</v>
      </c>
      <c r="E170" s="24">
        <f t="shared" si="100"/>
        <v>-4.2116916560371587E-5</v>
      </c>
      <c r="F170" s="17">
        <f t="shared" si="101"/>
        <v>2.9384852350123935E-3</v>
      </c>
      <c r="G170" s="25">
        <f t="shared" si="102"/>
        <v>2.3067314866068197E-3</v>
      </c>
      <c r="H170" s="25">
        <f t="shared" si="103"/>
        <v>1.4538639262592951E-3</v>
      </c>
      <c r="I170" s="25">
        <f t="shared" si="104"/>
        <v>-1.5153786912469019E-3</v>
      </c>
      <c r="J170" s="26">
        <f t="shared" si="105"/>
        <v>66.895213111597769</v>
      </c>
      <c r="K170" s="26">
        <f t="shared" si="106"/>
        <v>42.16205386151956</v>
      </c>
      <c r="L170" s="26">
        <f t="shared" si="107"/>
        <v>-43.945982046160154</v>
      </c>
      <c r="M170" s="27">
        <f t="shared" si="108"/>
        <v>4142.1515958701339</v>
      </c>
      <c r="N170" s="27">
        <f t="shared" si="109"/>
        <v>1426.763902673822</v>
      </c>
      <c r="O170" s="27">
        <f t="shared" si="110"/>
        <v>-1487.1320324420597</v>
      </c>
      <c r="P170" s="9">
        <f t="shared" si="111"/>
        <v>-17800.448400000001</v>
      </c>
      <c r="Q170" s="27">
        <f t="shared" si="112"/>
        <v>-13718.664933898104</v>
      </c>
      <c r="R170" s="27">
        <f t="shared" si="113"/>
        <v>125627.77198053767</v>
      </c>
      <c r="S170" s="16">
        <f t="shared" si="114"/>
        <v>0.72820710291769952</v>
      </c>
      <c r="T170" s="27">
        <f t="shared" si="115"/>
        <v>-9990.0292474125727</v>
      </c>
      <c r="U170" s="27">
        <f t="shared" si="116"/>
        <v>91483.035879952688</v>
      </c>
    </row>
    <row r="171" spans="2:21">
      <c r="B171" s="22">
        <v>0.49909999999999999</v>
      </c>
      <c r="C171" s="26">
        <f t="shared" si="98"/>
        <v>79.143000000000015</v>
      </c>
      <c r="D171" s="29">
        <f t="shared" si="99"/>
        <v>0.56129787234042561</v>
      </c>
      <c r="E171" s="24">
        <f t="shared" si="100"/>
        <v>-3.7906068761608724E-5</v>
      </c>
      <c r="F171" s="17">
        <f t="shared" si="101"/>
        <v>2.3447556953868302E-3</v>
      </c>
      <c r="G171" s="25">
        <f t="shared" si="102"/>
        <v>1.7761646639626995E-3</v>
      </c>
      <c r="H171" s="25">
        <f t="shared" si="103"/>
        <v>1.0085667715401228E-3</v>
      </c>
      <c r="I171" s="25">
        <f t="shared" si="104"/>
        <v>-1.6638110761532923E-3</v>
      </c>
      <c r="J171" s="26">
        <f t="shared" si="105"/>
        <v>51.508775254918284</v>
      </c>
      <c r="K171" s="26">
        <f t="shared" si="106"/>
        <v>29.248436374663562</v>
      </c>
      <c r="L171" s="26">
        <f t="shared" si="107"/>
        <v>-48.250521208445477</v>
      </c>
      <c r="M171" s="27">
        <f t="shared" si="108"/>
        <v>3189.42336378454</v>
      </c>
      <c r="N171" s="27">
        <f t="shared" si="109"/>
        <v>989.76708691861506</v>
      </c>
      <c r="O171" s="27">
        <f t="shared" si="110"/>
        <v>-1632.7976376937952</v>
      </c>
      <c r="P171" s="9">
        <f t="shared" si="111"/>
        <v>-19777.835700000003</v>
      </c>
      <c r="Q171" s="27">
        <f t="shared" si="112"/>
        <v>-17231.442886990644</v>
      </c>
      <c r="R171" s="27">
        <f t="shared" si="113"/>
        <v>131072.43412673994</v>
      </c>
      <c r="S171" s="16">
        <f t="shared" si="114"/>
        <v>0.6787296412822359</v>
      </c>
      <c r="T171" s="27">
        <f t="shared" si="115"/>
        <v>-11695.491049462495</v>
      </c>
      <c r="U171" s="27">
        <f t="shared" si="116"/>
        <v>88962.746196831693</v>
      </c>
    </row>
    <row r="172" spans="2:21">
      <c r="B172" s="22">
        <v>0.54900000000000004</v>
      </c>
      <c r="C172" s="26">
        <f t="shared" si="98"/>
        <v>87.055714285714288</v>
      </c>
      <c r="D172" s="29">
        <f t="shared" si="99"/>
        <v>0.61741641337386022</v>
      </c>
      <c r="E172" s="24">
        <f t="shared" si="100"/>
        <v>-3.4460690198395119E-5</v>
      </c>
      <c r="F172" s="17">
        <f t="shared" si="101"/>
        <v>1.8589573179737114E-3</v>
      </c>
      <c r="G172" s="25">
        <f t="shared" si="102"/>
        <v>1.3420469649977848E-3</v>
      </c>
      <c r="H172" s="25">
        <f t="shared" si="103"/>
        <v>6.4421798848028351E-4</v>
      </c>
      <c r="I172" s="25">
        <f t="shared" si="104"/>
        <v>-1.7852606705065725E-3</v>
      </c>
      <c r="J172" s="26">
        <f t="shared" si="105"/>
        <v>38.919361984935755</v>
      </c>
      <c r="K172" s="26">
        <f t="shared" si="106"/>
        <v>18.682321665928221</v>
      </c>
      <c r="L172" s="26">
        <f t="shared" si="107"/>
        <v>-51.7725594446906</v>
      </c>
      <c r="M172" s="27">
        <f t="shared" si="108"/>
        <v>2409.8868941072219</v>
      </c>
      <c r="N172" s="27">
        <f t="shared" si="109"/>
        <v>632.20976517501106</v>
      </c>
      <c r="O172" s="27">
        <f t="shared" si="110"/>
        <v>-1751.98341160833</v>
      </c>
      <c r="P172" s="9">
        <f t="shared" si="111"/>
        <v>-21755.223000000002</v>
      </c>
      <c r="Q172" s="27">
        <f t="shared" si="112"/>
        <v>-20465.109752326098</v>
      </c>
      <c r="R172" s="27">
        <f t="shared" si="113"/>
        <v>135944.20666710366</v>
      </c>
      <c r="S172" s="16">
        <f t="shared" si="114"/>
        <v>0.65</v>
      </c>
      <c r="T172" s="27">
        <f t="shared" si="115"/>
        <v>-13302.321339011964</v>
      </c>
      <c r="U172" s="27">
        <f t="shared" si="116"/>
        <v>88363.73433361738</v>
      </c>
    </row>
    <row r="173" spans="2:21">
      <c r="B173" s="22">
        <v>0.59889999999999999</v>
      </c>
      <c r="C173" s="26">
        <f t="shared" si="98"/>
        <v>94.968428571428575</v>
      </c>
      <c r="D173" s="29">
        <f t="shared" si="99"/>
        <v>0.67353495440729483</v>
      </c>
      <c r="E173" s="24">
        <f t="shared" si="100"/>
        <v>-3.1589445514975652E-5</v>
      </c>
      <c r="F173" s="17">
        <f t="shared" si="101"/>
        <v>1.4541118176115669E-3</v>
      </c>
      <c r="G173" s="25">
        <f t="shared" si="102"/>
        <v>9.8027013488693224E-4</v>
      </c>
      <c r="H173" s="25">
        <f t="shared" si="103"/>
        <v>3.4058386320867521E-4</v>
      </c>
      <c r="I173" s="25">
        <f t="shared" si="104"/>
        <v>-1.8864720455971083E-3</v>
      </c>
      <c r="J173" s="26">
        <f t="shared" si="105"/>
        <v>28.427833911721034</v>
      </c>
      <c r="K173" s="26">
        <f t="shared" si="106"/>
        <v>9.8769320330515811</v>
      </c>
      <c r="L173" s="26">
        <f t="shared" si="107"/>
        <v>-54.707689322316142</v>
      </c>
      <c r="M173" s="27">
        <f t="shared" si="108"/>
        <v>1760.2514758137665</v>
      </c>
      <c r="N173" s="27">
        <f t="shared" si="109"/>
        <v>334.23537999846553</v>
      </c>
      <c r="O173" s="27">
        <f t="shared" si="110"/>
        <v>-1851.3082066671784</v>
      </c>
      <c r="P173" s="9">
        <f t="shared" si="111"/>
        <v>-23732.610300000004</v>
      </c>
      <c r="Q173" s="27">
        <f t="shared" si="112"/>
        <v>-23489.431650854949</v>
      </c>
      <c r="R173" s="27">
        <f t="shared" si="113"/>
        <v>140158.14805263444</v>
      </c>
      <c r="S173" s="16">
        <f t="shared" si="114"/>
        <v>0.65</v>
      </c>
      <c r="T173" s="27">
        <f t="shared" si="115"/>
        <v>-15268.130573055718</v>
      </c>
      <c r="U173" s="27">
        <f t="shared" si="116"/>
        <v>91102.796234212394</v>
      </c>
    </row>
    <row r="174" spans="2:21">
      <c r="B174" s="22">
        <v>0.64880000000000004</v>
      </c>
      <c r="C174" s="26">
        <f t="shared" si="98"/>
        <v>102.88114285714286</v>
      </c>
      <c r="D174" s="29">
        <f t="shared" si="99"/>
        <v>0.72965349544072955</v>
      </c>
      <c r="E174" s="24">
        <f t="shared" si="100"/>
        <v>-2.9159862698703635E-5</v>
      </c>
      <c r="F174" s="17">
        <f t="shared" si="101"/>
        <v>1.1115406405172125E-3</v>
      </c>
      <c r="G174" s="25">
        <f t="shared" si="102"/>
        <v>6.7414270003665795E-4</v>
      </c>
      <c r="H174" s="25">
        <f t="shared" si="103"/>
        <v>8.3655480387909341E-5</v>
      </c>
      <c r="I174" s="25">
        <f t="shared" si="104"/>
        <v>-1.9721148398706969E-3</v>
      </c>
      <c r="J174" s="26">
        <f t="shared" si="105"/>
        <v>19.550138301063079</v>
      </c>
      <c r="K174" s="26">
        <f t="shared" si="106"/>
        <v>2.4260089312493709</v>
      </c>
      <c r="L174" s="26">
        <f t="shared" si="107"/>
        <v>-57.191330356250212</v>
      </c>
      <c r="M174" s="27">
        <f t="shared" si="108"/>
        <v>1210.544563601826</v>
      </c>
      <c r="N174" s="27">
        <f t="shared" si="109"/>
        <v>82.096142233478716</v>
      </c>
      <c r="O174" s="27">
        <f t="shared" si="110"/>
        <v>-1935.3546192555075</v>
      </c>
      <c r="P174" s="9">
        <f t="shared" si="111"/>
        <v>-25709.997599999999</v>
      </c>
      <c r="Q174" s="27">
        <f t="shared" si="112"/>
        <v>-26352.711513420203</v>
      </c>
      <c r="R174" s="27">
        <f t="shared" si="113"/>
        <v>143655.44856722836</v>
      </c>
      <c r="S174" s="16">
        <f t="shared" si="114"/>
        <v>0.65</v>
      </c>
      <c r="T174" s="27">
        <f t="shared" si="115"/>
        <v>-17129.262483723134</v>
      </c>
      <c r="U174" s="27">
        <f t="shared" si="116"/>
        <v>93376.041568698434</v>
      </c>
    </row>
    <row r="175" spans="2:21">
      <c r="B175" s="22">
        <v>0.69869999999999999</v>
      </c>
      <c r="C175" s="26">
        <f t="shared" si="98"/>
        <v>110.79385714285715</v>
      </c>
      <c r="D175" s="29">
        <f t="shared" si="99"/>
        <v>0.78577203647416416</v>
      </c>
      <c r="E175" s="24">
        <f t="shared" si="100"/>
        <v>-2.7077313466321624E-5</v>
      </c>
      <c r="F175" s="17">
        <f t="shared" si="101"/>
        <v>8.1790119875134882E-4</v>
      </c>
      <c r="G175" s="25">
        <f t="shared" si="102"/>
        <v>4.1174149675652451E-4</v>
      </c>
      <c r="H175" s="25">
        <f t="shared" si="103"/>
        <v>-1.365741009364884E-4</v>
      </c>
      <c r="I175" s="25">
        <f t="shared" si="104"/>
        <v>-2.0455247003121628E-3</v>
      </c>
      <c r="J175" s="26">
        <f t="shared" si="105"/>
        <v>11.940503405939211</v>
      </c>
      <c r="K175" s="26">
        <f t="shared" si="106"/>
        <v>-3.9606489271581635</v>
      </c>
      <c r="L175" s="26">
        <f t="shared" si="107"/>
        <v>-59.320216309052725</v>
      </c>
      <c r="M175" s="27">
        <f t="shared" si="108"/>
        <v>739.35597089575595</v>
      </c>
      <c r="N175" s="27">
        <f t="shared" si="109"/>
        <v>-134.02835969503226</v>
      </c>
      <c r="O175" s="27">
        <f t="shared" si="110"/>
        <v>-2007.3961198983445</v>
      </c>
      <c r="P175" s="9">
        <f t="shared" si="111"/>
        <v>-27687.384900000005</v>
      </c>
      <c r="Q175" s="27">
        <f t="shared" si="112"/>
        <v>-29089.453408697627</v>
      </c>
      <c r="R175" s="27">
        <f t="shared" si="113"/>
        <v>146394.09886594847</v>
      </c>
      <c r="S175" s="16">
        <f t="shared" si="114"/>
        <v>0.65</v>
      </c>
      <c r="T175" s="27">
        <f t="shared" si="115"/>
        <v>-18908.14471565346</v>
      </c>
      <c r="U175" s="27">
        <f t="shared" si="116"/>
        <v>95156.164262866514</v>
      </c>
    </row>
    <row r="176" spans="2:21">
      <c r="B176" s="22">
        <v>0.74860000000000004</v>
      </c>
      <c r="C176" s="26">
        <f t="shared" si="98"/>
        <v>118.70657142857145</v>
      </c>
      <c r="D176" s="29">
        <f t="shared" si="99"/>
        <v>0.84189057750759899</v>
      </c>
      <c r="E176" s="24">
        <f t="shared" si="100"/>
        <v>-2.5272400372587383E-5</v>
      </c>
      <c r="F176" s="17">
        <f t="shared" si="101"/>
        <v>5.6340845253482108E-4</v>
      </c>
      <c r="G176" s="25">
        <f t="shared" si="102"/>
        <v>1.8432244694601034E-4</v>
      </c>
      <c r="H176" s="25">
        <f t="shared" si="103"/>
        <v>-3.2744366059888415E-4</v>
      </c>
      <c r="I176" s="25">
        <f t="shared" si="104"/>
        <v>-2.1091478868662948E-3</v>
      </c>
      <c r="J176" s="26">
        <f t="shared" si="105"/>
        <v>5.3453509614343</v>
      </c>
      <c r="K176" s="26">
        <f t="shared" si="106"/>
        <v>-9.4958661573676402</v>
      </c>
      <c r="L176" s="26">
        <f t="shared" si="107"/>
        <v>-61.16528871912255</v>
      </c>
      <c r="M176" s="27">
        <f t="shared" si="108"/>
        <v>330.98413153201187</v>
      </c>
      <c r="N176" s="27">
        <f t="shared" si="109"/>
        <v>-321.34011076532096</v>
      </c>
      <c r="O176" s="27">
        <f t="shared" si="110"/>
        <v>-2069.8333702551072</v>
      </c>
      <c r="P176" s="9">
        <f t="shared" si="111"/>
        <v>-29664.77220000001</v>
      </c>
      <c r="Q176" s="27">
        <f t="shared" si="112"/>
        <v>-31724.961549488427</v>
      </c>
      <c r="R176" s="27">
        <f t="shared" si="113"/>
        <v>148343.29059938193</v>
      </c>
      <c r="S176" s="16">
        <f t="shared" si="114"/>
        <v>0.65</v>
      </c>
      <c r="T176" s="27">
        <f t="shared" si="115"/>
        <v>-20621.225007167479</v>
      </c>
      <c r="U176" s="27">
        <f t="shared" si="116"/>
        <v>96423.138889598253</v>
      </c>
    </row>
    <row r="177" spans="1:21">
      <c r="B177" s="22">
        <v>0.8</v>
      </c>
      <c r="C177" s="26">
        <f t="shared" si="98"/>
        <v>126.85714285714288</v>
      </c>
      <c r="D177" s="29">
        <f t="shared" ref="D177:D178" si="117">C177/$D$10</f>
        <v>0.89969604863221897</v>
      </c>
      <c r="E177" s="24">
        <f t="shared" ref="E177:E178" si="118">-0.003/C177</f>
        <v>-2.3648648648648646E-5</v>
      </c>
      <c r="F177" s="17">
        <f t="shared" ref="F177:F178" si="119">E177*(C177-$D$10)</f>
        <v>3.3445945945945898E-4</v>
      </c>
      <c r="G177" s="25">
        <f t="shared" ref="G177:G178" si="120">E177*(C177-$D$10+$D$20)</f>
        <v>-2.02702702702707E-5</v>
      </c>
      <c r="H177" s="25">
        <f t="shared" ref="H177:H178" si="121">E177*(C177-$D$10+$D$21)</f>
        <v>-4.9915540540540579E-4</v>
      </c>
      <c r="I177" s="25">
        <f t="shared" ref="I177:I178" si="122">E177*(C177-$D$10+$D$22)</f>
        <v>-2.1663851351351356E-3</v>
      </c>
      <c r="J177" s="26">
        <f t="shared" ref="J177:J178" si="123">SIGN(G177)*MIN($D$8*ABS(G177),$D$7)</f>
        <v>-0.58783783783785026</v>
      </c>
      <c r="K177" s="26">
        <f t="shared" ref="K177:K178" si="124">SIGN(H177)*MIN($D$8*ABS(H177),$D$7)</f>
        <v>-14.475506756756769</v>
      </c>
      <c r="L177" s="26">
        <f t="shared" ref="L177:L178" si="125">SIGN(I177)*MIN($D$8*ABS(I177),$D$7)</f>
        <v>-62.825168918918934</v>
      </c>
      <c r="M177" s="27">
        <f t="shared" ref="M177:M178" si="126">J177*$D$131</f>
        <v>-36.398918918919691</v>
      </c>
      <c r="N177" s="27">
        <f t="shared" si="109"/>
        <v>-489.85114864864909</v>
      </c>
      <c r="O177" s="27">
        <f t="shared" si="110"/>
        <v>-2126.0037162162171</v>
      </c>
      <c r="P177" s="9">
        <f t="shared" ref="P177:P178" si="127">$D$15*C177*2*$D$12*(-0.85*$D$6)</f>
        <v>-31701.600000000006</v>
      </c>
      <c r="Q177" s="27">
        <f t="shared" ref="Q177:Q178" si="128">SUM(M177:P177)</f>
        <v>-34353.853783783794</v>
      </c>
      <c r="R177" s="27">
        <f t="shared" si="113"/>
        <v>149501.30729222973</v>
      </c>
      <c r="S177" s="16">
        <f t="shared" si="114"/>
        <v>0.65</v>
      </c>
      <c r="T177" s="27">
        <f t="shared" ref="T177:T178" si="129">Q177*S177</f>
        <v>-22330.004959459467</v>
      </c>
      <c r="U177" s="27">
        <f t="shared" ref="U177:U178" si="130">R177*S177</f>
        <v>97175.849739949321</v>
      </c>
    </row>
    <row r="178" spans="1:21">
      <c r="B178" s="22">
        <v>0.9</v>
      </c>
      <c r="C178" s="26">
        <f t="shared" si="98"/>
        <v>142.71428571428572</v>
      </c>
      <c r="D178" s="29">
        <f t="shared" si="117"/>
        <v>1.0121580547112463</v>
      </c>
      <c r="E178" s="24">
        <f t="shared" si="118"/>
        <v>-2.1021021021021022E-5</v>
      </c>
      <c r="F178" s="17">
        <f t="shared" si="119"/>
        <v>-3.6036036036036207E-5</v>
      </c>
      <c r="G178" s="25">
        <f t="shared" si="120"/>
        <v>-3.5135135135135151E-4</v>
      </c>
      <c r="H178" s="25">
        <f t="shared" si="121"/>
        <v>-7.7702702702702722E-4</v>
      </c>
      <c r="I178" s="25">
        <f t="shared" si="122"/>
        <v>-2.2590090090090094E-3</v>
      </c>
      <c r="J178" s="26">
        <f t="shared" si="123"/>
        <v>-10.189189189189193</v>
      </c>
      <c r="K178" s="26">
        <f t="shared" si="124"/>
        <v>-22.53378378378379</v>
      </c>
      <c r="L178" s="26">
        <f t="shared" si="125"/>
        <v>-65.511261261261268</v>
      </c>
      <c r="M178" s="27">
        <f t="shared" si="126"/>
        <v>-630.91459459459486</v>
      </c>
      <c r="N178" s="27">
        <f t="shared" si="109"/>
        <v>-762.54324324324352</v>
      </c>
      <c r="O178" s="27">
        <f t="shared" si="110"/>
        <v>-2216.9010810810814</v>
      </c>
      <c r="P178" s="9">
        <f t="shared" si="127"/>
        <v>-35664.300000000003</v>
      </c>
      <c r="Q178" s="27">
        <f t="shared" si="128"/>
        <v>-39274.658918918925</v>
      </c>
      <c r="R178" s="27">
        <f t="shared" si="113"/>
        <v>149215.396481982</v>
      </c>
      <c r="S178" s="16">
        <f t="shared" si="114"/>
        <v>0.65</v>
      </c>
      <c r="T178" s="27">
        <f t="shared" si="129"/>
        <v>-25528.528297297304</v>
      </c>
      <c r="U178" s="27">
        <f t="shared" si="130"/>
        <v>96990.007713288302</v>
      </c>
    </row>
    <row r="179" spans="1:21">
      <c r="B179" s="22"/>
      <c r="C179" s="26"/>
    </row>
    <row r="180" spans="1:21">
      <c r="B180" s="11" t="s">
        <v>7</v>
      </c>
      <c r="D180" s="33">
        <v>0.01</v>
      </c>
    </row>
    <row r="181" spans="1:21">
      <c r="B181" s="9" t="s">
        <v>8</v>
      </c>
      <c r="C181" s="9" t="s">
        <v>15</v>
      </c>
      <c r="D181" s="26">
        <f>D180*($D$11-2*$D$12)*$D$13</f>
        <v>77.400000000000006</v>
      </c>
    </row>
    <row r="182" spans="1:21">
      <c r="B182" s="9" t="s">
        <v>9</v>
      </c>
      <c r="C182" s="9" t="s">
        <v>15</v>
      </c>
      <c r="D182" s="26">
        <f>D180*$D$10/2*$D$12</f>
        <v>21.15</v>
      </c>
    </row>
    <row r="183" spans="1:21">
      <c r="B183" s="9" t="s">
        <v>10</v>
      </c>
      <c r="C183" s="9" t="s">
        <v>15</v>
      </c>
      <c r="D183" s="26">
        <f>D182</f>
        <v>21.15</v>
      </c>
    </row>
    <row r="185" spans="1:21">
      <c r="B185" s="18" t="s">
        <v>38</v>
      </c>
      <c r="C185" s="18" t="s">
        <v>37</v>
      </c>
      <c r="D185" s="18" t="s">
        <v>47</v>
      </c>
      <c r="E185" s="19" t="s">
        <v>19</v>
      </c>
      <c r="F185" s="19" t="s">
        <v>20</v>
      </c>
      <c r="G185" s="19" t="s">
        <v>21</v>
      </c>
      <c r="H185" s="19" t="s">
        <v>22</v>
      </c>
      <c r="I185" s="19" t="s">
        <v>23</v>
      </c>
      <c r="J185" s="19" t="s">
        <v>24</v>
      </c>
      <c r="K185" s="19" t="s">
        <v>25</v>
      </c>
      <c r="L185" s="19" t="s">
        <v>26</v>
      </c>
      <c r="M185" s="19" t="s">
        <v>27</v>
      </c>
      <c r="N185" s="19" t="s">
        <v>28</v>
      </c>
      <c r="O185" s="19" t="s">
        <v>29</v>
      </c>
      <c r="P185" s="19" t="s">
        <v>30</v>
      </c>
      <c r="Q185" s="19" t="s">
        <v>31</v>
      </c>
      <c r="R185" s="19" t="s">
        <v>32</v>
      </c>
      <c r="S185" s="19" t="s">
        <v>33</v>
      </c>
      <c r="T185" s="19"/>
      <c r="U185" s="19"/>
    </row>
    <row r="186" spans="1:21">
      <c r="B186" s="20"/>
      <c r="C186" s="21" t="s">
        <v>14</v>
      </c>
      <c r="D186" s="21"/>
      <c r="E186" s="21" t="s">
        <v>39</v>
      </c>
      <c r="F186" s="20"/>
      <c r="G186" s="20"/>
      <c r="H186" s="20"/>
      <c r="I186" s="20"/>
      <c r="J186" s="21" t="s">
        <v>13</v>
      </c>
      <c r="K186" s="21" t="s">
        <v>13</v>
      </c>
      <c r="L186" s="21" t="s">
        <v>13</v>
      </c>
      <c r="M186" s="21" t="s">
        <v>41</v>
      </c>
      <c r="N186" s="21" t="s">
        <v>41</v>
      </c>
      <c r="O186" s="21" t="s">
        <v>41</v>
      </c>
      <c r="P186" s="21" t="s">
        <v>41</v>
      </c>
      <c r="Q186" s="21" t="s">
        <v>41</v>
      </c>
      <c r="R186" s="21" t="s">
        <v>42</v>
      </c>
      <c r="S186" s="21"/>
      <c r="T186" s="21"/>
      <c r="U186" s="21"/>
    </row>
    <row r="187" spans="1:21">
      <c r="A187" s="15" t="s">
        <v>36</v>
      </c>
      <c r="B187" s="22"/>
      <c r="C187" s="23"/>
      <c r="D187" s="23"/>
      <c r="E187" s="24"/>
      <c r="F187" s="17"/>
      <c r="G187" s="25"/>
      <c r="H187" s="25"/>
      <c r="I187" s="25"/>
      <c r="J187" s="26"/>
      <c r="K187" s="26"/>
      <c r="L187" s="26"/>
      <c r="M187" s="27"/>
      <c r="N187" s="27"/>
      <c r="O187" s="27"/>
      <c r="P187" s="27"/>
      <c r="Q187" s="27"/>
      <c r="R187" s="27"/>
      <c r="S187" s="16"/>
      <c r="T187" s="27"/>
      <c r="U187" s="27"/>
    </row>
    <row r="188" spans="1:21">
      <c r="B188" s="22">
        <v>1.0000000000000001E-5</v>
      </c>
      <c r="C188" s="23">
        <f t="shared" ref="C188:C206" si="131">B188/$D$15*$D$13</f>
        <v>4.285714285714286E-4</v>
      </c>
      <c r="D188" s="29">
        <f>C188/$D$10</f>
        <v>3.0395136778115506E-6</v>
      </c>
      <c r="E188" s="24">
        <f t="shared" ref="E188:E206" si="132">-0.003/C188</f>
        <v>-7</v>
      </c>
      <c r="F188" s="17">
        <f t="shared" ref="F188:F206" si="133">E188*(C188-$D$10)</f>
        <v>986.99700000000007</v>
      </c>
      <c r="G188" s="25">
        <f t="shared" ref="G188:G206" si="134">E188*(C188-$D$20)</f>
        <v>104.997</v>
      </c>
      <c r="H188" s="25">
        <f t="shared" ref="H188:H206" si="135">E188*(C188-$D$21)</f>
        <v>246.74700000000001</v>
      </c>
      <c r="I188" s="25">
        <f t="shared" ref="I188:I206" si="136">E188*(C188-$D$22)</f>
        <v>740.24699999999996</v>
      </c>
      <c r="J188" s="26">
        <f t="shared" ref="J188:J206" si="137">SIGN(G188)*MIN($D$8*ABS(G188),$D$7)</f>
        <v>80</v>
      </c>
      <c r="K188" s="26">
        <f t="shared" ref="K188:K206" si="138">SIGN(H188)*MIN($D$8*ABS(H188),$D$7)</f>
        <v>80</v>
      </c>
      <c r="L188" s="26">
        <f t="shared" ref="L188:L206" si="139">SIGN(I188)*MIN($D$8*ABS(I188),$D$7)</f>
        <v>80</v>
      </c>
      <c r="M188" s="27">
        <f t="shared" ref="M188:M206" si="140">$D$181*J188</f>
        <v>6192</v>
      </c>
      <c r="N188" s="27">
        <f t="shared" ref="N188:N206" si="141">$D$182*K188*2</f>
        <v>3384</v>
      </c>
      <c r="O188" s="27">
        <f t="shared" ref="O188:O206" si="142">$D$183*L188*2</f>
        <v>3384</v>
      </c>
      <c r="P188" s="27">
        <f t="shared" ref="P188:P206" si="143">$D$15*C188*$D$11*(-0.85*$D$6)</f>
        <v>-0.56763000000000008</v>
      </c>
      <c r="Q188" s="27">
        <f t="shared" ref="Q188:Q206" si="144">SUM(M188:P188)</f>
        <v>12959.43237</v>
      </c>
      <c r="R188" s="27">
        <f t="shared" ref="R188:R206" si="145">(P188*($D$18-$D$15*C188/2)+M188*($D$18-$D$20)+N188*($D$18-$D$21)+O188*($D$18-$D$22))/12</f>
        <v>-2.0805145296229361</v>
      </c>
      <c r="S188" s="16">
        <f>MAX(0.65,MIN(0.9,0.65+(F188-0.002)*250/3))</f>
        <v>0.9</v>
      </c>
      <c r="T188" s="27">
        <f t="shared" ref="T188:T206" si="146">S188*Q188</f>
        <v>11663.489133000001</v>
      </c>
      <c r="U188" s="27">
        <f t="shared" ref="U188:U206" si="147">S188*R188</f>
        <v>-1.8724630766606425</v>
      </c>
    </row>
    <row r="189" spans="1:21">
      <c r="B189" s="22">
        <v>0.05</v>
      </c>
      <c r="C189" s="23">
        <f t="shared" si="131"/>
        <v>2.1428571428571432</v>
      </c>
      <c r="D189" s="29">
        <f t="shared" ref="D189:D205" si="148">C189/$D$10</f>
        <v>1.5197568389057753E-2</v>
      </c>
      <c r="E189" s="24">
        <f t="shared" si="132"/>
        <v>-1.3999999999999998E-3</v>
      </c>
      <c r="F189" s="17">
        <f t="shared" si="133"/>
        <v>0.19439999999999996</v>
      </c>
      <c r="G189" s="25">
        <f t="shared" si="134"/>
        <v>1.7999999999999999E-2</v>
      </c>
      <c r="H189" s="25">
        <f t="shared" si="135"/>
        <v>4.6349999999999988E-2</v>
      </c>
      <c r="I189" s="25">
        <f t="shared" si="136"/>
        <v>0.14504999999999998</v>
      </c>
      <c r="J189" s="26">
        <f t="shared" si="137"/>
        <v>80</v>
      </c>
      <c r="K189" s="26">
        <f t="shared" si="138"/>
        <v>80</v>
      </c>
      <c r="L189" s="26">
        <f t="shared" si="139"/>
        <v>80</v>
      </c>
      <c r="M189" s="27">
        <f t="shared" si="140"/>
        <v>6192</v>
      </c>
      <c r="N189" s="27">
        <f t="shared" si="141"/>
        <v>3384</v>
      </c>
      <c r="O189" s="27">
        <f t="shared" si="142"/>
        <v>3384</v>
      </c>
      <c r="P189" s="27">
        <f t="shared" si="143"/>
        <v>-2838.1500000000005</v>
      </c>
      <c r="Q189" s="27">
        <f t="shared" si="144"/>
        <v>10121.849999999999</v>
      </c>
      <c r="R189" s="27">
        <f t="shared" si="145"/>
        <v>-10225.223749999999</v>
      </c>
      <c r="S189" s="16">
        <f t="shared" ref="S189:S206" si="149">MAX(0.65,MIN(0.9,0.65+(F189-0.002)*250/3))</f>
        <v>0.9</v>
      </c>
      <c r="T189" s="27">
        <f t="shared" si="146"/>
        <v>9109.6649999999991</v>
      </c>
      <c r="U189" s="27">
        <f t="shared" si="147"/>
        <v>-9202.7013749999987</v>
      </c>
    </row>
    <row r="190" spans="1:21">
      <c r="B190" s="22">
        <v>0.1</v>
      </c>
      <c r="C190" s="23">
        <f t="shared" si="131"/>
        <v>4.2857142857142865</v>
      </c>
      <c r="D190" s="29">
        <f t="shared" si="148"/>
        <v>3.0395136778115506E-2</v>
      </c>
      <c r="E190" s="24">
        <f t="shared" si="132"/>
        <v>-6.9999999999999988E-4</v>
      </c>
      <c r="F190" s="17">
        <f t="shared" si="133"/>
        <v>9.5699999999999993E-2</v>
      </c>
      <c r="G190" s="25">
        <f t="shared" si="134"/>
        <v>7.499999999999998E-3</v>
      </c>
      <c r="H190" s="25">
        <f t="shared" si="135"/>
        <v>2.1674999999999996E-2</v>
      </c>
      <c r="I190" s="25">
        <f t="shared" si="136"/>
        <v>7.1024999999999991E-2</v>
      </c>
      <c r="J190" s="26">
        <f t="shared" si="137"/>
        <v>80</v>
      </c>
      <c r="K190" s="26">
        <f t="shared" si="138"/>
        <v>80</v>
      </c>
      <c r="L190" s="26">
        <f t="shared" si="139"/>
        <v>80</v>
      </c>
      <c r="M190" s="27">
        <f t="shared" si="140"/>
        <v>6192</v>
      </c>
      <c r="N190" s="27">
        <f t="shared" si="141"/>
        <v>3384</v>
      </c>
      <c r="O190" s="27">
        <f t="shared" si="142"/>
        <v>3384</v>
      </c>
      <c r="P190" s="27">
        <f t="shared" si="143"/>
        <v>-5676.3000000000011</v>
      </c>
      <c r="Q190" s="27">
        <f t="shared" si="144"/>
        <v>7283.6999999999989</v>
      </c>
      <c r="R190" s="27">
        <f t="shared" si="145"/>
        <v>-20095.678750000003</v>
      </c>
      <c r="S190" s="16">
        <f t="shared" si="149"/>
        <v>0.9</v>
      </c>
      <c r="T190" s="27">
        <f t="shared" si="146"/>
        <v>6555.329999999999</v>
      </c>
      <c r="U190" s="27">
        <f t="shared" si="147"/>
        <v>-18086.110875000002</v>
      </c>
    </row>
    <row r="191" spans="1:21">
      <c r="B191" s="22">
        <v>0.15</v>
      </c>
      <c r="C191" s="23">
        <f t="shared" si="131"/>
        <v>6.4285714285714288</v>
      </c>
      <c r="D191" s="29">
        <f t="shared" si="148"/>
        <v>4.5592705167173252E-2</v>
      </c>
      <c r="E191" s="24">
        <f t="shared" si="132"/>
        <v>-4.6666666666666666E-4</v>
      </c>
      <c r="F191" s="17">
        <f t="shared" si="133"/>
        <v>6.2800000000000009E-2</v>
      </c>
      <c r="G191" s="25">
        <f t="shared" si="134"/>
        <v>4.0000000000000001E-3</v>
      </c>
      <c r="H191" s="25">
        <f t="shared" si="135"/>
        <v>1.3449999999999998E-2</v>
      </c>
      <c r="I191" s="25">
        <f t="shared" si="136"/>
        <v>4.6349999999999995E-2</v>
      </c>
      <c r="J191" s="26">
        <f t="shared" si="137"/>
        <v>80</v>
      </c>
      <c r="K191" s="26">
        <f t="shared" si="138"/>
        <v>80</v>
      </c>
      <c r="L191" s="26">
        <f t="shared" si="139"/>
        <v>80</v>
      </c>
      <c r="M191" s="27">
        <f t="shared" si="140"/>
        <v>6192</v>
      </c>
      <c r="N191" s="27">
        <f t="shared" si="141"/>
        <v>3384</v>
      </c>
      <c r="O191" s="27">
        <f t="shared" si="142"/>
        <v>3384</v>
      </c>
      <c r="P191" s="27">
        <f t="shared" si="143"/>
        <v>-8514.4500000000007</v>
      </c>
      <c r="Q191" s="27">
        <f t="shared" si="144"/>
        <v>4445.5499999999993</v>
      </c>
      <c r="R191" s="27">
        <f t="shared" si="145"/>
        <v>-29611.365000000002</v>
      </c>
      <c r="S191" s="16">
        <f t="shared" si="149"/>
        <v>0.9</v>
      </c>
      <c r="T191" s="27">
        <f t="shared" si="146"/>
        <v>4000.9949999999994</v>
      </c>
      <c r="U191" s="27">
        <f t="shared" si="147"/>
        <v>-26650.228500000001</v>
      </c>
    </row>
    <row r="192" spans="1:21">
      <c r="B192" s="22">
        <v>0.2</v>
      </c>
      <c r="C192" s="23">
        <f t="shared" si="131"/>
        <v>8.571428571428573</v>
      </c>
      <c r="D192" s="29">
        <f t="shared" si="148"/>
        <v>6.0790273556231011E-2</v>
      </c>
      <c r="E192" s="24">
        <f t="shared" si="132"/>
        <v>-3.4999999999999994E-4</v>
      </c>
      <c r="F192" s="17">
        <f t="shared" si="133"/>
        <v>4.6349999999999988E-2</v>
      </c>
      <c r="G192" s="25">
        <f t="shared" si="134"/>
        <v>2.249999999999999E-3</v>
      </c>
      <c r="H192" s="25">
        <f t="shared" si="135"/>
        <v>9.3374999999999986E-3</v>
      </c>
      <c r="I192" s="25">
        <f t="shared" si="136"/>
        <v>3.4012499999999994E-2</v>
      </c>
      <c r="J192" s="26">
        <f t="shared" si="137"/>
        <v>65.249999999999972</v>
      </c>
      <c r="K192" s="26">
        <f t="shared" si="138"/>
        <v>80</v>
      </c>
      <c r="L192" s="26">
        <f t="shared" si="139"/>
        <v>80</v>
      </c>
      <c r="M192" s="27">
        <f t="shared" si="140"/>
        <v>5050.3499999999985</v>
      </c>
      <c r="N192" s="27">
        <f t="shared" si="141"/>
        <v>3384</v>
      </c>
      <c r="O192" s="27">
        <f t="shared" si="142"/>
        <v>3384</v>
      </c>
      <c r="P192" s="27">
        <f t="shared" si="143"/>
        <v>-11352.600000000002</v>
      </c>
      <c r="Q192" s="27">
        <f t="shared" si="144"/>
        <v>465.74999999999636</v>
      </c>
      <c r="R192" s="27">
        <f t="shared" si="145"/>
        <v>-41529.684375000012</v>
      </c>
      <c r="S192" s="16">
        <f t="shared" si="149"/>
        <v>0.9</v>
      </c>
      <c r="T192" s="27">
        <f t="shared" si="146"/>
        <v>419.17499999999671</v>
      </c>
      <c r="U192" s="27">
        <f t="shared" si="147"/>
        <v>-37376.715937500012</v>
      </c>
    </row>
    <row r="193" spans="2:21">
      <c r="B193" s="22">
        <v>0.25</v>
      </c>
      <c r="C193" s="23">
        <f t="shared" si="131"/>
        <v>10.714285714285715</v>
      </c>
      <c r="D193" s="29">
        <f t="shared" si="148"/>
        <v>7.5987841945288764E-2</v>
      </c>
      <c r="E193" s="24">
        <f t="shared" si="132"/>
        <v>-2.7999999999999998E-4</v>
      </c>
      <c r="F193" s="17">
        <f t="shared" si="133"/>
        <v>3.6479999999999992E-2</v>
      </c>
      <c r="G193" s="25">
        <f t="shared" si="134"/>
        <v>1.1999999999999997E-3</v>
      </c>
      <c r="H193" s="25">
        <f t="shared" si="135"/>
        <v>6.8699999999999994E-3</v>
      </c>
      <c r="I193" s="25">
        <f t="shared" si="136"/>
        <v>2.6609999999999995E-2</v>
      </c>
      <c r="J193" s="26">
        <f t="shared" si="137"/>
        <v>34.79999999999999</v>
      </c>
      <c r="K193" s="26">
        <f t="shared" si="138"/>
        <v>80</v>
      </c>
      <c r="L193" s="26">
        <f t="shared" si="139"/>
        <v>80</v>
      </c>
      <c r="M193" s="27">
        <f t="shared" si="140"/>
        <v>2693.5199999999995</v>
      </c>
      <c r="N193" s="27">
        <f t="shared" si="141"/>
        <v>3384</v>
      </c>
      <c r="O193" s="27">
        <f t="shared" si="142"/>
        <v>3384</v>
      </c>
      <c r="P193" s="27">
        <f t="shared" si="143"/>
        <v>-14190.75</v>
      </c>
      <c r="Q193" s="27">
        <f t="shared" si="144"/>
        <v>-4729.2299999999996</v>
      </c>
      <c r="R193" s="27">
        <f t="shared" si="145"/>
        <v>-56028.232250000008</v>
      </c>
      <c r="S193" s="16">
        <f t="shared" si="149"/>
        <v>0.9</v>
      </c>
      <c r="T193" s="27">
        <f t="shared" si="146"/>
        <v>-4256.3069999999998</v>
      </c>
      <c r="U193" s="27">
        <f t="shared" si="147"/>
        <v>-50425.409025000008</v>
      </c>
    </row>
    <row r="194" spans="2:21">
      <c r="B194" s="22">
        <v>0.3</v>
      </c>
      <c r="C194" s="23">
        <f t="shared" si="131"/>
        <v>12.857142857142858</v>
      </c>
      <c r="D194" s="29">
        <f t="shared" si="148"/>
        <v>9.1185410334346503E-2</v>
      </c>
      <c r="E194" s="24">
        <f t="shared" si="132"/>
        <v>-2.3333333333333333E-4</v>
      </c>
      <c r="F194" s="17">
        <f t="shared" si="133"/>
        <v>2.9899999999999999E-2</v>
      </c>
      <c r="G194" s="25">
        <f t="shared" si="134"/>
        <v>4.999999999999999E-4</v>
      </c>
      <c r="H194" s="25">
        <f t="shared" si="135"/>
        <v>5.2249999999999996E-3</v>
      </c>
      <c r="I194" s="25">
        <f t="shared" si="136"/>
        <v>2.1675E-2</v>
      </c>
      <c r="J194" s="26">
        <f t="shared" si="137"/>
        <v>14.499999999999996</v>
      </c>
      <c r="K194" s="26">
        <f t="shared" si="138"/>
        <v>80</v>
      </c>
      <c r="L194" s="26">
        <f t="shared" si="139"/>
        <v>80</v>
      </c>
      <c r="M194" s="27">
        <f t="shared" si="140"/>
        <v>1122.2999999999997</v>
      </c>
      <c r="N194" s="27">
        <f t="shared" si="141"/>
        <v>3384</v>
      </c>
      <c r="O194" s="27">
        <f t="shared" si="142"/>
        <v>3384</v>
      </c>
      <c r="P194" s="27">
        <f t="shared" si="143"/>
        <v>-17028.900000000001</v>
      </c>
      <c r="Q194" s="27">
        <f t="shared" si="144"/>
        <v>-9138.6000000000022</v>
      </c>
      <c r="R194" s="27">
        <f t="shared" si="145"/>
        <v>-68274.545000000013</v>
      </c>
      <c r="S194" s="16">
        <f t="shared" si="149"/>
        <v>0.9</v>
      </c>
      <c r="T194" s="27">
        <f t="shared" si="146"/>
        <v>-8224.7400000000016</v>
      </c>
      <c r="U194" s="27">
        <f t="shared" si="147"/>
        <v>-61447.090500000013</v>
      </c>
    </row>
    <row r="195" spans="2:21">
      <c r="B195" s="22">
        <v>0.35</v>
      </c>
      <c r="C195" s="23">
        <f t="shared" si="131"/>
        <v>15</v>
      </c>
      <c r="D195" s="29">
        <f t="shared" si="148"/>
        <v>0.10638297872340426</v>
      </c>
      <c r="E195" s="24">
        <f t="shared" si="132"/>
        <v>-2.0000000000000001E-4</v>
      </c>
      <c r="F195" s="17">
        <f t="shared" si="133"/>
        <v>2.52E-2</v>
      </c>
      <c r="G195" s="25">
        <f t="shared" si="134"/>
        <v>0</v>
      </c>
      <c r="H195" s="25">
        <f t="shared" si="135"/>
        <v>4.0499999999999998E-3</v>
      </c>
      <c r="I195" s="25">
        <f t="shared" si="136"/>
        <v>1.8149999999999999E-2</v>
      </c>
      <c r="J195" s="26">
        <f t="shared" si="137"/>
        <v>0</v>
      </c>
      <c r="K195" s="26">
        <f t="shared" si="138"/>
        <v>80</v>
      </c>
      <c r="L195" s="26">
        <f t="shared" si="139"/>
        <v>80</v>
      </c>
      <c r="M195" s="27">
        <f t="shared" si="140"/>
        <v>0</v>
      </c>
      <c r="N195" s="27">
        <f t="shared" si="141"/>
        <v>3384</v>
      </c>
      <c r="O195" s="27">
        <f t="shared" si="142"/>
        <v>3384</v>
      </c>
      <c r="P195" s="27">
        <f t="shared" si="143"/>
        <v>-19867.05</v>
      </c>
      <c r="Q195" s="27">
        <f t="shared" si="144"/>
        <v>-13099.05</v>
      </c>
      <c r="R195" s="27">
        <f t="shared" si="145"/>
        <v>-79081.822499999995</v>
      </c>
      <c r="S195" s="16">
        <f t="shared" si="149"/>
        <v>0.9</v>
      </c>
      <c r="T195" s="27">
        <f t="shared" si="146"/>
        <v>-11789.145</v>
      </c>
      <c r="U195" s="27">
        <f t="shared" si="147"/>
        <v>-71173.640249999997</v>
      </c>
    </row>
    <row r="196" spans="2:21">
      <c r="B196" s="22">
        <v>0.4</v>
      </c>
      <c r="C196" s="23">
        <f t="shared" si="131"/>
        <v>17.142857142857146</v>
      </c>
      <c r="D196" s="29">
        <f t="shared" si="148"/>
        <v>0.12158054711246202</v>
      </c>
      <c r="E196" s="24">
        <f t="shared" si="132"/>
        <v>-1.7499999999999997E-4</v>
      </c>
      <c r="F196" s="17">
        <f t="shared" si="133"/>
        <v>2.1674999999999996E-2</v>
      </c>
      <c r="G196" s="25">
        <f t="shared" si="134"/>
        <v>-3.750000000000005E-4</v>
      </c>
      <c r="H196" s="25">
        <f t="shared" si="135"/>
        <v>3.1687499999999988E-3</v>
      </c>
      <c r="I196" s="25">
        <f t="shared" si="136"/>
        <v>1.5506249999999997E-2</v>
      </c>
      <c r="J196" s="26">
        <f t="shared" si="137"/>
        <v>-10.875000000000014</v>
      </c>
      <c r="K196" s="26">
        <f t="shared" si="138"/>
        <v>80</v>
      </c>
      <c r="L196" s="26">
        <f t="shared" si="139"/>
        <v>80</v>
      </c>
      <c r="M196" s="27">
        <f t="shared" si="140"/>
        <v>-841.72500000000116</v>
      </c>
      <c r="N196" s="27">
        <f t="shared" si="141"/>
        <v>3384</v>
      </c>
      <c r="O196" s="27">
        <f t="shared" si="142"/>
        <v>3384</v>
      </c>
      <c r="P196" s="27">
        <f t="shared" si="143"/>
        <v>-22705.200000000004</v>
      </c>
      <c r="Q196" s="27">
        <f t="shared" si="144"/>
        <v>-16778.925000000007</v>
      </c>
      <c r="R196" s="27">
        <f t="shared" si="145"/>
        <v>-88856.66468750003</v>
      </c>
      <c r="S196" s="16">
        <f t="shared" si="149"/>
        <v>0.9</v>
      </c>
      <c r="T196" s="27">
        <f t="shared" si="146"/>
        <v>-15101.032500000007</v>
      </c>
      <c r="U196" s="27">
        <f t="shared" si="147"/>
        <v>-79970.998218750028</v>
      </c>
    </row>
    <row r="197" spans="2:21">
      <c r="B197" s="22">
        <v>0.45</v>
      </c>
      <c r="C197" s="23">
        <f t="shared" si="131"/>
        <v>19.285714285714288</v>
      </c>
      <c r="D197" s="29">
        <f t="shared" si="148"/>
        <v>0.13677811550151978</v>
      </c>
      <c r="E197" s="24">
        <f t="shared" si="132"/>
        <v>-1.5555555555555554E-4</v>
      </c>
      <c r="F197" s="17">
        <f t="shared" si="133"/>
        <v>1.893333333333333E-2</v>
      </c>
      <c r="G197" s="25">
        <f t="shared" si="134"/>
        <v>-6.6666666666666697E-4</v>
      </c>
      <c r="H197" s="25">
        <f t="shared" si="135"/>
        <v>2.4833333333333326E-3</v>
      </c>
      <c r="I197" s="25">
        <f t="shared" si="136"/>
        <v>1.3449999999999997E-2</v>
      </c>
      <c r="J197" s="26">
        <f t="shared" si="137"/>
        <v>-19.333333333333343</v>
      </c>
      <c r="K197" s="26">
        <f t="shared" si="138"/>
        <v>72.016666666666652</v>
      </c>
      <c r="L197" s="26">
        <f t="shared" si="139"/>
        <v>80</v>
      </c>
      <c r="M197" s="27">
        <f t="shared" si="140"/>
        <v>-1496.4000000000008</v>
      </c>
      <c r="N197" s="27">
        <f t="shared" si="141"/>
        <v>3046.3049999999994</v>
      </c>
      <c r="O197" s="27">
        <f t="shared" si="142"/>
        <v>3384</v>
      </c>
      <c r="P197" s="27">
        <f t="shared" si="143"/>
        <v>-25543.350000000006</v>
      </c>
      <c r="Q197" s="27">
        <f t="shared" si="144"/>
        <v>-20609.445000000007</v>
      </c>
      <c r="R197" s="27">
        <f t="shared" si="145"/>
        <v>-98070.727333333358</v>
      </c>
      <c r="S197" s="16">
        <f t="shared" si="149"/>
        <v>0.9</v>
      </c>
      <c r="T197" s="27">
        <f t="shared" si="146"/>
        <v>-18548.500500000006</v>
      </c>
      <c r="U197" s="27">
        <f t="shared" si="147"/>
        <v>-88263.654600000023</v>
      </c>
    </row>
    <row r="198" spans="2:21">
      <c r="B198" s="22">
        <v>0.5</v>
      </c>
      <c r="C198" s="23">
        <f t="shared" si="131"/>
        <v>21.428571428571431</v>
      </c>
      <c r="D198" s="29">
        <f t="shared" si="148"/>
        <v>0.15197568389057753</v>
      </c>
      <c r="E198" s="24">
        <f t="shared" si="132"/>
        <v>-1.3999999999999999E-4</v>
      </c>
      <c r="F198" s="17">
        <f t="shared" si="133"/>
        <v>1.6739999999999998E-2</v>
      </c>
      <c r="G198" s="25">
        <f t="shared" si="134"/>
        <v>-9.0000000000000019E-4</v>
      </c>
      <c r="H198" s="25">
        <f t="shared" si="135"/>
        <v>1.9349999999999997E-3</v>
      </c>
      <c r="I198" s="25">
        <f t="shared" si="136"/>
        <v>1.1805E-2</v>
      </c>
      <c r="J198" s="26">
        <f t="shared" si="137"/>
        <v>-26.100000000000005</v>
      </c>
      <c r="K198" s="26">
        <f t="shared" si="138"/>
        <v>56.114999999999988</v>
      </c>
      <c r="L198" s="26">
        <f t="shared" si="139"/>
        <v>80</v>
      </c>
      <c r="M198" s="27">
        <f t="shared" si="140"/>
        <v>-2020.1400000000006</v>
      </c>
      <c r="N198" s="27">
        <f t="shared" si="141"/>
        <v>2373.6644999999994</v>
      </c>
      <c r="O198" s="27">
        <f t="shared" si="142"/>
        <v>3384</v>
      </c>
      <c r="P198" s="27">
        <f t="shared" si="143"/>
        <v>-28381.5</v>
      </c>
      <c r="Q198" s="27">
        <f t="shared" si="144"/>
        <v>-24643.9755</v>
      </c>
      <c r="R198" s="27">
        <f t="shared" si="145"/>
        <v>-106857.54272499999</v>
      </c>
      <c r="S198" s="16">
        <f t="shared" si="149"/>
        <v>0.9</v>
      </c>
      <c r="T198" s="27">
        <f t="shared" si="146"/>
        <v>-22179.577950000003</v>
      </c>
      <c r="U198" s="27">
        <f t="shared" si="147"/>
        <v>-96171.788452499997</v>
      </c>
    </row>
    <row r="199" spans="2:21">
      <c r="B199" s="22">
        <v>0.55000000000000004</v>
      </c>
      <c r="C199" s="23">
        <f t="shared" si="131"/>
        <v>23.571428571428573</v>
      </c>
      <c r="D199" s="29">
        <f t="shared" si="148"/>
        <v>0.16717325227963528</v>
      </c>
      <c r="E199" s="24">
        <f t="shared" si="132"/>
        <v>-1.2727272727272725E-4</v>
      </c>
      <c r="F199" s="17">
        <f t="shared" si="133"/>
        <v>1.4945454545454543E-2</v>
      </c>
      <c r="G199" s="25">
        <f t="shared" si="134"/>
        <v>-1.090909090909091E-3</v>
      </c>
      <c r="H199" s="25">
        <f t="shared" si="135"/>
        <v>1.4863636363636359E-3</v>
      </c>
      <c r="I199" s="25">
        <f t="shared" si="136"/>
        <v>1.0459090909090907E-2</v>
      </c>
      <c r="J199" s="26">
        <f t="shared" si="137"/>
        <v>-31.636363636363637</v>
      </c>
      <c r="K199" s="26">
        <f t="shared" si="138"/>
        <v>43.104545454545445</v>
      </c>
      <c r="L199" s="26">
        <f t="shared" si="139"/>
        <v>80</v>
      </c>
      <c r="M199" s="27">
        <f t="shared" si="140"/>
        <v>-2448.6545454545458</v>
      </c>
      <c r="N199" s="27">
        <f t="shared" si="141"/>
        <v>1823.3222727272721</v>
      </c>
      <c r="O199" s="27">
        <f t="shared" si="142"/>
        <v>3384</v>
      </c>
      <c r="P199" s="27">
        <f t="shared" si="143"/>
        <v>-31219.65</v>
      </c>
      <c r="Q199" s="27">
        <f t="shared" si="144"/>
        <v>-28460.982272727277</v>
      </c>
      <c r="R199" s="27">
        <f t="shared" si="145"/>
        <v>-114970.58747727273</v>
      </c>
      <c r="S199" s="16">
        <f t="shared" si="149"/>
        <v>0.9</v>
      </c>
      <c r="T199" s="27">
        <f t="shared" si="146"/>
        <v>-25614.88404545455</v>
      </c>
      <c r="U199" s="27">
        <f t="shared" si="147"/>
        <v>-103473.52872954546</v>
      </c>
    </row>
    <row r="200" spans="2:21">
      <c r="B200" s="22">
        <v>0.6</v>
      </c>
      <c r="C200" s="23">
        <f t="shared" si="131"/>
        <v>25.714285714285715</v>
      </c>
      <c r="D200" s="29">
        <f t="shared" si="148"/>
        <v>0.18237082066869301</v>
      </c>
      <c r="E200" s="24">
        <f t="shared" si="132"/>
        <v>-1.1666666666666667E-4</v>
      </c>
      <c r="F200" s="17">
        <f t="shared" si="133"/>
        <v>1.3449999999999998E-2</v>
      </c>
      <c r="G200" s="25">
        <f t="shared" si="134"/>
        <v>-1.25E-3</v>
      </c>
      <c r="H200" s="25">
        <f t="shared" si="135"/>
        <v>1.1124999999999998E-3</v>
      </c>
      <c r="I200" s="25">
        <f t="shared" si="136"/>
        <v>9.3374999999999986E-3</v>
      </c>
      <c r="J200" s="26">
        <f t="shared" si="137"/>
        <v>-36.25</v>
      </c>
      <c r="K200" s="26">
        <f t="shared" si="138"/>
        <v>32.262499999999996</v>
      </c>
      <c r="L200" s="26">
        <f t="shared" si="139"/>
        <v>80</v>
      </c>
      <c r="M200" s="27">
        <f t="shared" si="140"/>
        <v>-2805.75</v>
      </c>
      <c r="N200" s="27">
        <f t="shared" si="141"/>
        <v>1364.7037499999997</v>
      </c>
      <c r="O200" s="27">
        <f t="shared" si="142"/>
        <v>3384</v>
      </c>
      <c r="P200" s="27">
        <f t="shared" si="143"/>
        <v>-34057.800000000003</v>
      </c>
      <c r="Q200" s="27">
        <f t="shared" si="144"/>
        <v>-32114.846250000002</v>
      </c>
      <c r="R200" s="27">
        <f t="shared" si="145"/>
        <v>-122489.61206250002</v>
      </c>
      <c r="S200" s="16">
        <f t="shared" si="149"/>
        <v>0.9</v>
      </c>
      <c r="T200" s="27">
        <f t="shared" si="146"/>
        <v>-28903.361625000001</v>
      </c>
      <c r="U200" s="27">
        <f t="shared" si="147"/>
        <v>-110240.65085625002</v>
      </c>
    </row>
    <row r="201" spans="2:21">
      <c r="B201" s="22">
        <v>0.65</v>
      </c>
      <c r="C201" s="23">
        <f t="shared" si="131"/>
        <v>27.857142857142861</v>
      </c>
      <c r="D201" s="29">
        <f t="shared" si="148"/>
        <v>0.19756838905775079</v>
      </c>
      <c r="E201" s="24">
        <f t="shared" si="132"/>
        <v>-1.0769230769230768E-4</v>
      </c>
      <c r="F201" s="17">
        <f t="shared" si="133"/>
        <v>1.2184615384615382E-2</v>
      </c>
      <c r="G201" s="25">
        <f t="shared" si="134"/>
        <v>-1.384615384615385E-3</v>
      </c>
      <c r="H201" s="25">
        <f t="shared" si="135"/>
        <v>7.9615384615384563E-4</v>
      </c>
      <c r="I201" s="25">
        <f t="shared" si="136"/>
        <v>8.3884615384615373E-3</v>
      </c>
      <c r="J201" s="26">
        <f t="shared" si="137"/>
        <v>-40.15384615384616</v>
      </c>
      <c r="K201" s="26">
        <f t="shared" si="138"/>
        <v>23.088461538461523</v>
      </c>
      <c r="L201" s="26">
        <f t="shared" si="139"/>
        <v>80</v>
      </c>
      <c r="M201" s="27">
        <f t="shared" si="140"/>
        <v>-3107.9076923076932</v>
      </c>
      <c r="N201" s="27">
        <f t="shared" si="141"/>
        <v>976.64192307692235</v>
      </c>
      <c r="O201" s="27">
        <f t="shared" si="142"/>
        <v>3384</v>
      </c>
      <c r="P201" s="27">
        <f t="shared" si="143"/>
        <v>-36895.950000000004</v>
      </c>
      <c r="Q201" s="27">
        <f t="shared" si="144"/>
        <v>-35643.215769230774</v>
      </c>
      <c r="R201" s="27">
        <f t="shared" si="145"/>
        <v>-129469.82834615385</v>
      </c>
      <c r="S201" s="16">
        <f t="shared" si="149"/>
        <v>0.9</v>
      </c>
      <c r="T201" s="27">
        <f t="shared" si="146"/>
        <v>-32078.894192307696</v>
      </c>
      <c r="U201" s="27">
        <f t="shared" si="147"/>
        <v>-116522.84551153847</v>
      </c>
    </row>
    <row r="202" spans="2:21">
      <c r="B202" s="22">
        <v>0.7</v>
      </c>
      <c r="C202" s="23">
        <f t="shared" si="131"/>
        <v>30</v>
      </c>
      <c r="D202" s="29">
        <f t="shared" si="148"/>
        <v>0.21276595744680851</v>
      </c>
      <c r="E202" s="24">
        <f t="shared" si="132"/>
        <v>-1E-4</v>
      </c>
      <c r="F202" s="17">
        <f t="shared" si="133"/>
        <v>1.11E-2</v>
      </c>
      <c r="G202" s="25">
        <f t="shared" si="134"/>
        <v>-1.5E-3</v>
      </c>
      <c r="H202" s="25">
        <f t="shared" si="135"/>
        <v>5.2500000000000008E-4</v>
      </c>
      <c r="I202" s="25">
        <f t="shared" si="136"/>
        <v>7.5750000000000001E-3</v>
      </c>
      <c r="J202" s="26">
        <f t="shared" si="137"/>
        <v>-43.5</v>
      </c>
      <c r="K202" s="26">
        <f t="shared" si="138"/>
        <v>15.225000000000001</v>
      </c>
      <c r="L202" s="26">
        <f t="shared" si="139"/>
        <v>80</v>
      </c>
      <c r="M202" s="27">
        <f t="shared" si="140"/>
        <v>-3366.9</v>
      </c>
      <c r="N202" s="27">
        <f t="shared" si="141"/>
        <v>644.01750000000004</v>
      </c>
      <c r="O202" s="27">
        <f t="shared" si="142"/>
        <v>3384</v>
      </c>
      <c r="P202" s="27">
        <f t="shared" si="143"/>
        <v>-39734.1</v>
      </c>
      <c r="Q202" s="27">
        <f t="shared" si="144"/>
        <v>-39072.982499999998</v>
      </c>
      <c r="R202" s="27">
        <f t="shared" si="145"/>
        <v>-135950.67337499998</v>
      </c>
      <c r="S202" s="16">
        <f t="shared" si="149"/>
        <v>0.9</v>
      </c>
      <c r="T202" s="27">
        <f t="shared" si="146"/>
        <v>-35165.684249999998</v>
      </c>
      <c r="U202" s="27">
        <f t="shared" si="147"/>
        <v>-122355.60603749999</v>
      </c>
    </row>
    <row r="203" spans="2:21">
      <c r="B203" s="22">
        <v>0.75</v>
      </c>
      <c r="C203" s="23">
        <f t="shared" si="131"/>
        <v>32.142857142857139</v>
      </c>
      <c r="D203" s="29">
        <f t="shared" si="148"/>
        <v>0.22796352583586624</v>
      </c>
      <c r="E203" s="24">
        <f t="shared" si="132"/>
        <v>-9.3333333333333343E-5</v>
      </c>
      <c r="F203" s="17">
        <f t="shared" si="133"/>
        <v>1.0160000000000001E-2</v>
      </c>
      <c r="G203" s="25">
        <f t="shared" si="134"/>
        <v>-1.5999999999999999E-3</v>
      </c>
      <c r="H203" s="25">
        <f t="shared" si="135"/>
        <v>2.9000000000000044E-4</v>
      </c>
      <c r="I203" s="25">
        <f t="shared" si="136"/>
        <v>6.8700000000000011E-3</v>
      </c>
      <c r="J203" s="26">
        <f t="shared" si="137"/>
        <v>-46.4</v>
      </c>
      <c r="K203" s="26">
        <f t="shared" si="138"/>
        <v>8.4100000000000126</v>
      </c>
      <c r="L203" s="26">
        <f t="shared" si="139"/>
        <v>80</v>
      </c>
      <c r="M203" s="27">
        <f t="shared" si="140"/>
        <v>-3591.36</v>
      </c>
      <c r="N203" s="27">
        <f t="shared" si="141"/>
        <v>355.74300000000051</v>
      </c>
      <c r="O203" s="27">
        <f t="shared" si="142"/>
        <v>3384</v>
      </c>
      <c r="P203" s="27">
        <f t="shared" si="143"/>
        <v>-42572.249999999993</v>
      </c>
      <c r="Q203" s="27">
        <f t="shared" si="144"/>
        <v>-42423.866999999991</v>
      </c>
      <c r="R203" s="27">
        <f t="shared" si="145"/>
        <v>-141961.06764999998</v>
      </c>
      <c r="S203" s="16">
        <f t="shared" si="149"/>
        <v>0.9</v>
      </c>
      <c r="T203" s="27">
        <f t="shared" si="146"/>
        <v>-38181.480299999996</v>
      </c>
      <c r="U203" s="27">
        <f t="shared" si="147"/>
        <v>-127764.96088499999</v>
      </c>
    </row>
    <row r="204" spans="2:21">
      <c r="B204" s="22">
        <v>0.8</v>
      </c>
      <c r="C204" s="23">
        <f t="shared" si="131"/>
        <v>34.285714285714292</v>
      </c>
      <c r="D204" s="29">
        <f t="shared" si="148"/>
        <v>0.24316109422492405</v>
      </c>
      <c r="E204" s="24">
        <f t="shared" si="132"/>
        <v>-8.7499999999999986E-5</v>
      </c>
      <c r="F204" s="17">
        <f t="shared" si="133"/>
        <v>9.3374999999999986E-3</v>
      </c>
      <c r="G204" s="25">
        <f t="shared" si="134"/>
        <v>-1.6875000000000002E-3</v>
      </c>
      <c r="H204" s="25">
        <f t="shared" si="135"/>
        <v>8.4374999999999449E-5</v>
      </c>
      <c r="I204" s="25">
        <f t="shared" si="136"/>
        <v>6.2531249999999983E-3</v>
      </c>
      <c r="J204" s="26">
        <f t="shared" si="137"/>
        <v>-48.937500000000007</v>
      </c>
      <c r="K204" s="26">
        <f t="shared" si="138"/>
        <v>2.4468749999999839</v>
      </c>
      <c r="L204" s="26">
        <f t="shared" si="139"/>
        <v>80</v>
      </c>
      <c r="M204" s="27">
        <f t="shared" si="140"/>
        <v>-3787.7625000000007</v>
      </c>
      <c r="N204" s="27">
        <f t="shared" si="141"/>
        <v>103.50281249999931</v>
      </c>
      <c r="O204" s="27">
        <f t="shared" si="142"/>
        <v>3384</v>
      </c>
      <c r="P204" s="27">
        <f t="shared" si="143"/>
        <v>-45410.400000000009</v>
      </c>
      <c r="Q204" s="27">
        <f t="shared" si="144"/>
        <v>-45710.65968750001</v>
      </c>
      <c r="R204" s="27">
        <f t="shared" si="145"/>
        <v>-147522.70154687503</v>
      </c>
      <c r="S204" s="16">
        <f t="shared" si="149"/>
        <v>0.9</v>
      </c>
      <c r="T204" s="27">
        <f t="shared" si="146"/>
        <v>-41139.593718750009</v>
      </c>
      <c r="U204" s="27">
        <f t="shared" si="147"/>
        <v>-132770.43139218754</v>
      </c>
    </row>
    <row r="205" spans="2:21">
      <c r="B205" s="22">
        <v>0.85</v>
      </c>
      <c r="C205" s="23">
        <f t="shared" si="131"/>
        <v>36.428571428571431</v>
      </c>
      <c r="D205" s="29">
        <f t="shared" si="148"/>
        <v>0.25835866261398177</v>
      </c>
      <c r="E205" s="24">
        <f t="shared" si="132"/>
        <v>-8.2352941176470581E-5</v>
      </c>
      <c r="F205" s="17">
        <f t="shared" si="133"/>
        <v>8.6117647058823518E-3</v>
      </c>
      <c r="G205" s="25">
        <f t="shared" si="134"/>
        <v>-1.7647058823529412E-3</v>
      </c>
      <c r="H205" s="25">
        <f t="shared" si="135"/>
        <v>-9.7058823529411919E-5</v>
      </c>
      <c r="I205" s="25">
        <f t="shared" si="136"/>
        <v>5.7088235294117644E-3</v>
      </c>
      <c r="J205" s="26">
        <f t="shared" si="137"/>
        <v>-51.176470588235297</v>
      </c>
      <c r="K205" s="26">
        <f t="shared" si="138"/>
        <v>-2.8147058823529458</v>
      </c>
      <c r="L205" s="26">
        <f t="shared" si="139"/>
        <v>80</v>
      </c>
      <c r="M205" s="27">
        <f t="shared" si="140"/>
        <v>-3961.0588235294122</v>
      </c>
      <c r="N205" s="27">
        <f t="shared" si="141"/>
        <v>-119.0620588235296</v>
      </c>
      <c r="O205" s="27">
        <f t="shared" si="142"/>
        <v>3384</v>
      </c>
      <c r="P205" s="27">
        <f t="shared" si="143"/>
        <v>-48248.55</v>
      </c>
      <c r="Q205" s="27">
        <f t="shared" si="144"/>
        <v>-48944.670882352948</v>
      </c>
      <c r="R205" s="27">
        <f t="shared" si="145"/>
        <v>-152652.16182352943</v>
      </c>
      <c r="S205" s="16">
        <f t="shared" si="149"/>
        <v>0.9</v>
      </c>
      <c r="T205" s="27">
        <f t="shared" si="146"/>
        <v>-44050.203794117653</v>
      </c>
      <c r="U205" s="27">
        <f t="shared" si="147"/>
        <v>-137386.94564117648</v>
      </c>
    </row>
    <row r="206" spans="2:21">
      <c r="B206" s="22">
        <v>0.9</v>
      </c>
      <c r="C206" s="23">
        <f t="shared" si="131"/>
        <v>38.571428571428577</v>
      </c>
      <c r="D206" s="29">
        <f>C206/$D$10</f>
        <v>0.27355623100303955</v>
      </c>
      <c r="E206" s="24">
        <f t="shared" si="132"/>
        <v>-7.7777777777777768E-5</v>
      </c>
      <c r="F206" s="17">
        <f t="shared" si="133"/>
        <v>7.9666666666666653E-3</v>
      </c>
      <c r="G206" s="25">
        <f t="shared" si="134"/>
        <v>-1.8333333333333335E-3</v>
      </c>
      <c r="H206" s="25">
        <f t="shared" si="135"/>
        <v>-2.5833333333333372E-4</v>
      </c>
      <c r="I206" s="25">
        <f t="shared" si="136"/>
        <v>5.2249999999999987E-3</v>
      </c>
      <c r="J206" s="26">
        <f t="shared" si="137"/>
        <v>-53.166666666666671</v>
      </c>
      <c r="K206" s="26">
        <f t="shared" si="138"/>
        <v>-7.4916666666666778</v>
      </c>
      <c r="L206" s="26">
        <f t="shared" si="139"/>
        <v>80</v>
      </c>
      <c r="M206" s="27">
        <f t="shared" si="140"/>
        <v>-4115.1000000000004</v>
      </c>
      <c r="N206" s="27">
        <f t="shared" si="141"/>
        <v>-316.89750000000043</v>
      </c>
      <c r="O206" s="27">
        <f t="shared" si="142"/>
        <v>3384</v>
      </c>
      <c r="P206" s="27">
        <f t="shared" si="143"/>
        <v>-51086.700000000012</v>
      </c>
      <c r="Q206" s="27">
        <f t="shared" si="144"/>
        <v>-52134.697500000009</v>
      </c>
      <c r="R206" s="27">
        <f t="shared" si="145"/>
        <v>-157362.3492916667</v>
      </c>
      <c r="S206" s="16">
        <f t="shared" si="149"/>
        <v>0.9</v>
      </c>
      <c r="T206" s="27">
        <f t="shared" si="146"/>
        <v>-46921.227750000013</v>
      </c>
      <c r="U206" s="27">
        <f t="shared" si="147"/>
        <v>-141626.11436250003</v>
      </c>
    </row>
    <row r="208" spans="2:21">
      <c r="B208" s="18" t="s">
        <v>43</v>
      </c>
      <c r="C208" s="18" t="s">
        <v>37</v>
      </c>
      <c r="D208" s="18" t="s">
        <v>47</v>
      </c>
      <c r="E208" s="19" t="s">
        <v>19</v>
      </c>
      <c r="F208" s="19" t="s">
        <v>20</v>
      </c>
      <c r="G208" s="19" t="s">
        <v>21</v>
      </c>
      <c r="H208" s="19" t="s">
        <v>22</v>
      </c>
      <c r="I208" s="19" t="s">
        <v>23</v>
      </c>
      <c r="J208" s="19" t="s">
        <v>24</v>
      </c>
      <c r="K208" s="19" t="s">
        <v>25</v>
      </c>
      <c r="L208" s="19" t="s">
        <v>26</v>
      </c>
      <c r="M208" s="19" t="s">
        <v>27</v>
      </c>
      <c r="N208" s="19" t="s">
        <v>28</v>
      </c>
      <c r="O208" s="19" t="s">
        <v>29</v>
      </c>
      <c r="P208" s="19" t="s">
        <v>30</v>
      </c>
      <c r="Q208" s="19" t="s">
        <v>31</v>
      </c>
      <c r="R208" s="19" t="s">
        <v>32</v>
      </c>
      <c r="S208" s="19" t="s">
        <v>33</v>
      </c>
      <c r="T208" s="19"/>
      <c r="U208" s="19"/>
    </row>
    <row r="209" spans="1:21">
      <c r="C209" s="21" t="s">
        <v>14</v>
      </c>
      <c r="D209" s="21"/>
      <c r="E209" s="21" t="s">
        <v>39</v>
      </c>
      <c r="F209" s="20"/>
      <c r="G209" s="20"/>
      <c r="H209" s="20"/>
      <c r="I209" s="20"/>
      <c r="J209" s="21" t="s">
        <v>13</v>
      </c>
      <c r="K209" s="21" t="s">
        <v>13</v>
      </c>
      <c r="L209" s="21" t="s">
        <v>13</v>
      </c>
      <c r="M209" s="21" t="s">
        <v>41</v>
      </c>
      <c r="N209" s="21" t="s">
        <v>41</v>
      </c>
      <c r="O209" s="21" t="s">
        <v>41</v>
      </c>
      <c r="P209" s="21" t="s">
        <v>41</v>
      </c>
      <c r="Q209" s="21" t="s">
        <v>41</v>
      </c>
      <c r="R209" s="21" t="s">
        <v>42</v>
      </c>
      <c r="S209" s="21"/>
      <c r="T209" s="21"/>
      <c r="U209" s="21"/>
    </row>
    <row r="210" spans="1:21">
      <c r="A210" s="15" t="s">
        <v>44</v>
      </c>
      <c r="B210" s="22"/>
      <c r="C210" s="23"/>
      <c r="D210" s="23"/>
      <c r="E210" s="24"/>
      <c r="F210" s="17"/>
      <c r="G210" s="25"/>
      <c r="H210" s="25"/>
      <c r="I210" s="25"/>
      <c r="J210" s="26"/>
      <c r="K210" s="26"/>
      <c r="L210" s="26"/>
      <c r="M210" s="27"/>
      <c r="N210" s="27"/>
      <c r="O210" s="27"/>
      <c r="P210" s="27"/>
      <c r="Q210" s="27"/>
      <c r="R210" s="27"/>
      <c r="S210" s="16"/>
      <c r="T210" s="27"/>
      <c r="U210" s="27"/>
    </row>
    <row r="211" spans="1:21">
      <c r="B211" s="22">
        <v>1.0000000000000001E-5</v>
      </c>
      <c r="C211" s="30">
        <f>B211/$D$15*($D$10-$D$13)</f>
        <v>1.5857142857142858E-3</v>
      </c>
      <c r="D211" s="29">
        <f>C211/$D$10</f>
        <v>1.1246200607902737E-5</v>
      </c>
      <c r="E211" s="24">
        <f>-0.003/C211</f>
        <v>-1.8918918918918919</v>
      </c>
      <c r="F211" s="17">
        <f>E211*(C211-$D$10)</f>
        <v>266.75375675675679</v>
      </c>
      <c r="G211" s="25">
        <f>E211*(C211-$D$10+$D$20)</f>
        <v>238.37537837837837</v>
      </c>
      <c r="H211" s="25">
        <f>E211*(C211-$D$10+$D$21)</f>
        <v>200.06456756756756</v>
      </c>
      <c r="I211" s="25">
        <f>E211*(C211-$D$10+$D$22)</f>
        <v>66.686189189189193</v>
      </c>
      <c r="J211" s="26">
        <f>SIGN(G211)*MIN($D$8*ABS(G211),$D$7)</f>
        <v>80</v>
      </c>
      <c r="K211" s="26">
        <f>SIGN(H211)*MIN($D$8*ABS(H211),$D$7)</f>
        <v>80</v>
      </c>
      <c r="L211" s="26">
        <f>SIGN(I211)*MIN($D$8*ABS(I211),$D$7)</f>
        <v>80</v>
      </c>
      <c r="M211" s="27">
        <f>J211*$D$181</f>
        <v>6192</v>
      </c>
      <c r="N211" s="27">
        <f>K211*$D$182*2</f>
        <v>3384</v>
      </c>
      <c r="O211" s="27">
        <f>L211*$D$183*2</f>
        <v>3384</v>
      </c>
      <c r="P211" s="9">
        <f>$D$15*C211*2*$D$12*(-0.85*$D$6)</f>
        <v>-0.39626999999999996</v>
      </c>
      <c r="Q211" s="27">
        <f>SUM(M211:P211)</f>
        <v>12959.603730000001</v>
      </c>
      <c r="R211" s="27">
        <f>(P211*(-$D$10+$D$18+$D$15*C211/2)+M211*($D$18-$D$20)+N211*($D$18-$D$21)+O211*($D$18-$D$22))/12</f>
        <v>3.2037145475139064</v>
      </c>
      <c r="S211" s="16">
        <f>MAX(0.65,MIN(0.9,0.65+(F211-0.002)*250/3))</f>
        <v>0.9</v>
      </c>
      <c r="T211" s="27">
        <f>Q211*S211</f>
        <v>11663.643357000001</v>
      </c>
      <c r="U211" s="27">
        <f>R211*S211</f>
        <v>2.8833430927625159</v>
      </c>
    </row>
    <row r="212" spans="1:21">
      <c r="B212" s="22">
        <v>0.05</v>
      </c>
      <c r="C212" s="26">
        <f t="shared" ref="C212:C229" si="150">B212/$D$15*($D$10-$D$13)</f>
        <v>7.9285714285714297</v>
      </c>
      <c r="D212" s="31">
        <f t="shared" ref="D212:D229" si="151">C212/$D$10</f>
        <v>5.6231003039513686E-2</v>
      </c>
      <c r="E212" s="24">
        <f t="shared" ref="E212:E229" si="152">-0.003/C212</f>
        <v>-3.7837837837837834E-4</v>
      </c>
      <c r="F212" s="17">
        <f t="shared" ref="F212:F229" si="153">E212*(C212-$D$10)</f>
        <v>5.0351351351351353E-2</v>
      </c>
      <c r="G212" s="25">
        <f t="shared" ref="G212:G229" si="154">E212*(C212-$D$10+$D$20)</f>
        <v>4.4675675675675673E-2</v>
      </c>
      <c r="H212" s="25">
        <f t="shared" ref="H212:H229" si="155">E212*(C212-$D$10+$D$21)</f>
        <v>3.7013513513513514E-2</v>
      </c>
      <c r="I212" s="25">
        <f t="shared" ref="I212:I229" si="156">E212*(C212-$D$10+$D$22)</f>
        <v>1.0337837837837842E-2</v>
      </c>
      <c r="J212" s="26">
        <f t="shared" ref="J212:J229" si="157">SIGN(G212)*MIN($D$8*ABS(G212),$D$7)</f>
        <v>80</v>
      </c>
      <c r="K212" s="26">
        <f t="shared" ref="K212:K229" si="158">SIGN(H212)*MIN($D$8*ABS(H212),$D$7)</f>
        <v>80</v>
      </c>
      <c r="L212" s="26">
        <f t="shared" ref="L212:L229" si="159">SIGN(I212)*MIN($D$8*ABS(I212),$D$7)</f>
        <v>80</v>
      </c>
      <c r="M212" s="27">
        <f t="shared" ref="M212:M229" si="160">J212*$D$181</f>
        <v>6192</v>
      </c>
      <c r="N212" s="27">
        <f t="shared" ref="N212:N229" si="161">K212*$D$182*2</f>
        <v>3384</v>
      </c>
      <c r="O212" s="27">
        <f t="shared" ref="O212:O229" si="162">L212*$D$183*2</f>
        <v>3384</v>
      </c>
      <c r="P212" s="9">
        <f t="shared" ref="P212:P229" si="163">$D$15*C212*2*$D$12*(-0.85*$D$6)</f>
        <v>-1981.3500000000004</v>
      </c>
      <c r="Q212" s="27">
        <f t="shared" ref="Q212:Q229" si="164">SUM(M212:P212)</f>
        <v>10978.65</v>
      </c>
      <c r="R212" s="27">
        <f t="shared" ref="R212:R229" si="165">(P212*(-$D$10+$D$18+$D$15*C212/2)+M212*($D$18-$D$20)+N212*($D$18-$D$21)+O212*($D$18-$D$22))/12</f>
        <v>15560.477187499999</v>
      </c>
      <c r="S212" s="16">
        <f t="shared" ref="S212:S229" si="166">MAX(0.65,MIN(0.9,0.65+(F212-0.002)*250/3))</f>
        <v>0.9</v>
      </c>
      <c r="T212" s="27">
        <f t="shared" ref="T212:T226" si="167">Q212*S212</f>
        <v>9880.7849999999999</v>
      </c>
      <c r="U212" s="27">
        <f t="shared" ref="U212:U226" si="168">R212*S212</f>
        <v>14004.429468749999</v>
      </c>
    </row>
    <row r="213" spans="1:21">
      <c r="B213" s="22">
        <v>9.9900000000000003E-2</v>
      </c>
      <c r="C213" s="40">
        <f t="shared" si="150"/>
        <v>15.841285714285718</v>
      </c>
      <c r="D213" s="31">
        <f t="shared" si="151"/>
        <v>0.11234954407294835</v>
      </c>
      <c r="E213" s="41">
        <f t="shared" si="152"/>
        <v>-1.8937856775694609E-4</v>
      </c>
      <c r="F213" s="42">
        <f t="shared" si="153"/>
        <v>2.3702378053729399E-2</v>
      </c>
      <c r="G213" s="43">
        <f t="shared" si="154"/>
        <v>2.0861699537375208E-2</v>
      </c>
      <c r="H213" s="43">
        <f t="shared" si="155"/>
        <v>1.702678354029705E-2</v>
      </c>
      <c r="I213" s="43">
        <f t="shared" si="156"/>
        <v>3.6755945134323495E-3</v>
      </c>
      <c r="J213" s="40">
        <f t="shared" si="157"/>
        <v>80</v>
      </c>
      <c r="K213" s="40">
        <f t="shared" si="158"/>
        <v>80</v>
      </c>
      <c r="L213" s="40">
        <f t="shared" si="159"/>
        <v>80</v>
      </c>
      <c r="M213" s="44">
        <f t="shared" si="160"/>
        <v>6192</v>
      </c>
      <c r="N213" s="44">
        <f t="shared" si="161"/>
        <v>3384</v>
      </c>
      <c r="O213" s="44">
        <f t="shared" si="162"/>
        <v>3384</v>
      </c>
      <c r="P213" s="45">
        <f t="shared" si="163"/>
        <v>-3958.7373000000011</v>
      </c>
      <c r="Q213" s="44">
        <f t="shared" si="164"/>
        <v>9001.2626999999993</v>
      </c>
      <c r="R213" s="44">
        <f t="shared" si="165"/>
        <v>30176.206336001254</v>
      </c>
      <c r="S213" s="46">
        <f t="shared" si="166"/>
        <v>0.9</v>
      </c>
      <c r="T213" s="44">
        <f t="shared" si="167"/>
        <v>8101.1364299999996</v>
      </c>
      <c r="U213" s="27">
        <f t="shared" si="168"/>
        <v>27158.585702401131</v>
      </c>
    </row>
    <row r="214" spans="1:21">
      <c r="B214" s="22">
        <v>0.14979999999999999</v>
      </c>
      <c r="C214" s="40">
        <f t="shared" si="150"/>
        <v>23.753999999999998</v>
      </c>
      <c r="D214" s="31">
        <f t="shared" si="151"/>
        <v>0.16846808510638298</v>
      </c>
      <c r="E214" s="41">
        <f t="shared" si="152"/>
        <v>-1.2629451881788332E-4</v>
      </c>
      <c r="F214" s="42">
        <f t="shared" si="153"/>
        <v>1.4807527153321549E-2</v>
      </c>
      <c r="G214" s="43">
        <f t="shared" si="154"/>
        <v>1.2913109371053298E-2</v>
      </c>
      <c r="H214" s="43">
        <f t="shared" si="155"/>
        <v>1.0355645364991161E-2</v>
      </c>
      <c r="I214" s="43">
        <f t="shared" si="156"/>
        <v>1.4518817883303879E-3</v>
      </c>
      <c r="J214" s="40">
        <f t="shared" si="157"/>
        <v>80</v>
      </c>
      <c r="K214" s="40">
        <f t="shared" si="158"/>
        <v>80</v>
      </c>
      <c r="L214" s="40">
        <f t="shared" si="159"/>
        <v>42.104571861581249</v>
      </c>
      <c r="M214" s="44">
        <f t="shared" si="160"/>
        <v>6192</v>
      </c>
      <c r="N214" s="44">
        <f t="shared" si="161"/>
        <v>3384</v>
      </c>
      <c r="O214" s="44">
        <f t="shared" si="162"/>
        <v>1781.0233897448868</v>
      </c>
      <c r="P214" s="45">
        <f t="shared" si="163"/>
        <v>-5936.1245999999992</v>
      </c>
      <c r="Q214" s="44">
        <f t="shared" si="164"/>
        <v>5420.8987897448878</v>
      </c>
      <c r="R214" s="44">
        <f t="shared" si="165"/>
        <v>52130.099771512563</v>
      </c>
      <c r="S214" s="46">
        <f t="shared" si="166"/>
        <v>0.9</v>
      </c>
      <c r="T214" s="44">
        <f t="shared" si="167"/>
        <v>4878.8089107703991</v>
      </c>
      <c r="U214" s="27">
        <f t="shared" si="168"/>
        <v>46917.089794361309</v>
      </c>
    </row>
    <row r="215" spans="1:21">
      <c r="B215" s="22">
        <v>0.19969999999999999</v>
      </c>
      <c r="C215" s="26">
        <f t="shared" si="150"/>
        <v>31.666714285714288</v>
      </c>
      <c r="D215" s="31">
        <f t="shared" si="151"/>
        <v>0.22458662613981764</v>
      </c>
      <c r="E215" s="24">
        <f t="shared" si="152"/>
        <v>-9.4736699644060673E-5</v>
      </c>
      <c r="F215" s="17">
        <f t="shared" si="153"/>
        <v>1.0357874649812554E-2</v>
      </c>
      <c r="G215" s="25">
        <f t="shared" si="154"/>
        <v>8.9368241551516445E-3</v>
      </c>
      <c r="H215" s="25">
        <f t="shared" si="155"/>
        <v>7.0184059873594157E-3</v>
      </c>
      <c r="I215" s="25">
        <f t="shared" si="156"/>
        <v>3.3946866245313851E-4</v>
      </c>
      <c r="J215" s="26">
        <f t="shared" si="157"/>
        <v>80</v>
      </c>
      <c r="K215" s="26">
        <f t="shared" si="158"/>
        <v>80</v>
      </c>
      <c r="L215" s="26">
        <f t="shared" si="159"/>
        <v>9.844591211141017</v>
      </c>
      <c r="M215" s="27">
        <f t="shared" si="160"/>
        <v>6192</v>
      </c>
      <c r="N215" s="27">
        <f t="shared" si="161"/>
        <v>3384</v>
      </c>
      <c r="O215" s="27">
        <f t="shared" si="162"/>
        <v>416.42620823126498</v>
      </c>
      <c r="P215" s="9">
        <f t="shared" si="163"/>
        <v>-7913.5119000000013</v>
      </c>
      <c r="Q215" s="27">
        <f t="shared" si="164"/>
        <v>2078.9143082312639</v>
      </c>
      <c r="R215" s="27">
        <f t="shared" si="165"/>
        <v>71944.288771087566</v>
      </c>
      <c r="S215" s="16">
        <f t="shared" si="166"/>
        <v>0.9</v>
      </c>
      <c r="T215" s="27">
        <f t="shared" si="167"/>
        <v>1871.0228774081377</v>
      </c>
      <c r="U215" s="27">
        <f t="shared" si="168"/>
        <v>64749.859893978813</v>
      </c>
    </row>
    <row r="216" spans="1:21">
      <c r="B216" s="22">
        <v>0.24959999999999999</v>
      </c>
      <c r="C216" s="26">
        <f t="shared" si="150"/>
        <v>39.579428571428572</v>
      </c>
      <c r="D216" s="29">
        <f t="shared" si="151"/>
        <v>0.28070516717325228</v>
      </c>
      <c r="E216" s="24">
        <f t="shared" si="152"/>
        <v>-7.5796950796950792E-5</v>
      </c>
      <c r="F216" s="17">
        <f t="shared" si="153"/>
        <v>7.687370062370062E-3</v>
      </c>
      <c r="G216" s="25">
        <f t="shared" si="154"/>
        <v>6.5504158004158009E-3</v>
      </c>
      <c r="H216" s="25">
        <f t="shared" si="155"/>
        <v>5.0155275467775474E-3</v>
      </c>
      <c r="I216" s="25">
        <f t="shared" si="156"/>
        <v>-3.2815748440748389E-4</v>
      </c>
      <c r="J216" s="26">
        <f t="shared" si="157"/>
        <v>80</v>
      </c>
      <c r="K216" s="26">
        <f t="shared" si="158"/>
        <v>80</v>
      </c>
      <c r="L216" s="26">
        <f t="shared" si="159"/>
        <v>-9.5165670478170323</v>
      </c>
      <c r="M216" s="27">
        <f t="shared" si="160"/>
        <v>6192</v>
      </c>
      <c r="N216" s="27">
        <f t="shared" si="161"/>
        <v>3384</v>
      </c>
      <c r="O216" s="27">
        <f t="shared" si="162"/>
        <v>-402.55078612266044</v>
      </c>
      <c r="P216" s="9">
        <f t="shared" si="163"/>
        <v>-9890.8991999999998</v>
      </c>
      <c r="Q216" s="27">
        <f t="shared" si="164"/>
        <v>-717.44998612265954</v>
      </c>
      <c r="R216" s="27">
        <f t="shared" si="165"/>
        <v>88037.336875423571</v>
      </c>
      <c r="S216" s="16">
        <f t="shared" si="166"/>
        <v>0.9</v>
      </c>
      <c r="T216" s="27">
        <f t="shared" si="167"/>
        <v>-645.70498751039361</v>
      </c>
      <c r="U216" s="27">
        <f t="shared" si="168"/>
        <v>79233.603187881221</v>
      </c>
    </row>
    <row r="217" spans="1:21">
      <c r="B217" s="22">
        <v>0.29949999999999999</v>
      </c>
      <c r="C217" s="26">
        <f t="shared" si="150"/>
        <v>47.492142857142859</v>
      </c>
      <c r="D217" s="29">
        <f t="shared" si="151"/>
        <v>0.33682370820668694</v>
      </c>
      <c r="E217" s="24">
        <f t="shared" si="152"/>
        <v>-6.3168343635789382E-5</v>
      </c>
      <c r="F217" s="17">
        <f t="shared" si="153"/>
        <v>5.9067364526463034E-3</v>
      </c>
      <c r="G217" s="25">
        <f t="shared" si="154"/>
        <v>4.9592112981094623E-3</v>
      </c>
      <c r="H217" s="25">
        <f t="shared" si="155"/>
        <v>3.6800523394847273E-3</v>
      </c>
      <c r="I217" s="25">
        <f t="shared" si="156"/>
        <v>-7.733158868384241E-4</v>
      </c>
      <c r="J217" s="26">
        <f t="shared" si="157"/>
        <v>80</v>
      </c>
      <c r="K217" s="26">
        <f t="shared" si="158"/>
        <v>80</v>
      </c>
      <c r="L217" s="26">
        <f t="shared" si="159"/>
        <v>-22.4261607183143</v>
      </c>
      <c r="M217" s="27">
        <f t="shared" si="160"/>
        <v>6192</v>
      </c>
      <c r="N217" s="27">
        <f t="shared" si="161"/>
        <v>3384</v>
      </c>
      <c r="O217" s="27">
        <f t="shared" si="162"/>
        <v>-948.62659838469483</v>
      </c>
      <c r="P217" s="9">
        <f t="shared" si="163"/>
        <v>-11868.2865</v>
      </c>
      <c r="Q217" s="27">
        <f t="shared" si="164"/>
        <v>-3240.9130983846953</v>
      </c>
      <c r="R217" s="27">
        <f t="shared" si="165"/>
        <v>101812.98940782803</v>
      </c>
      <c r="S217" s="16">
        <f t="shared" si="166"/>
        <v>0.9</v>
      </c>
      <c r="T217" s="27">
        <f t="shared" si="167"/>
        <v>-2916.8217885462259</v>
      </c>
      <c r="U217" s="27">
        <f t="shared" si="168"/>
        <v>91631.690467045235</v>
      </c>
    </row>
    <row r="218" spans="1:21">
      <c r="B218" s="22">
        <v>0.34939999999999999</v>
      </c>
      <c r="C218" s="26">
        <f t="shared" si="150"/>
        <v>55.404857142857146</v>
      </c>
      <c r="D218" s="29">
        <f t="shared" si="151"/>
        <v>0.39294224924012161</v>
      </c>
      <c r="E218" s="24">
        <f t="shared" si="152"/>
        <v>-5.4146877272235026E-5</v>
      </c>
      <c r="F218" s="17">
        <f t="shared" si="153"/>
        <v>4.6347096953851391E-3</v>
      </c>
      <c r="G218" s="25">
        <f t="shared" si="154"/>
        <v>3.8225065363016136E-3</v>
      </c>
      <c r="H218" s="25">
        <f t="shared" si="155"/>
        <v>2.7260322715388545E-3</v>
      </c>
      <c r="I218" s="25">
        <f t="shared" si="156"/>
        <v>-1.0913225761537151E-3</v>
      </c>
      <c r="J218" s="26">
        <f t="shared" si="157"/>
        <v>80</v>
      </c>
      <c r="K218" s="26">
        <f t="shared" si="158"/>
        <v>79.054935874626779</v>
      </c>
      <c r="L218" s="26">
        <f t="shared" si="159"/>
        <v>-31.648354708457738</v>
      </c>
      <c r="M218" s="27">
        <f t="shared" si="160"/>
        <v>6192</v>
      </c>
      <c r="N218" s="27">
        <f t="shared" si="161"/>
        <v>3344.0237874967124</v>
      </c>
      <c r="O218" s="27">
        <f t="shared" si="162"/>
        <v>-1338.7254041677622</v>
      </c>
      <c r="P218" s="9">
        <f t="shared" si="163"/>
        <v>-13845.6738</v>
      </c>
      <c r="Q218" s="27">
        <f t="shared" si="164"/>
        <v>-5648.3754166710496</v>
      </c>
      <c r="R218" s="27">
        <f t="shared" si="165"/>
        <v>113843.98728423113</v>
      </c>
      <c r="S218" s="16">
        <f t="shared" si="166"/>
        <v>0.86955914128209499</v>
      </c>
      <c r="T218" s="27">
        <f t="shared" si="167"/>
        <v>-4911.5964769593738</v>
      </c>
      <c r="U218" s="27">
        <f t="shared" si="168"/>
        <v>98994.07982300577</v>
      </c>
    </row>
    <row r="219" spans="1:21">
      <c r="B219" s="22">
        <v>0.39929999999999999</v>
      </c>
      <c r="C219" s="26">
        <f t="shared" si="150"/>
        <v>63.317571428571426</v>
      </c>
      <c r="D219" s="29">
        <f t="shared" si="151"/>
        <v>0.44906079027355622</v>
      </c>
      <c r="E219" s="24">
        <f t="shared" si="152"/>
        <v>-4.7380212669468872E-5</v>
      </c>
      <c r="F219" s="17">
        <f t="shared" si="153"/>
        <v>3.6806099863951106E-3</v>
      </c>
      <c r="G219" s="25">
        <f t="shared" si="154"/>
        <v>2.9699067963530777E-3</v>
      </c>
      <c r="H219" s="25">
        <f t="shared" si="155"/>
        <v>2.010457489796333E-3</v>
      </c>
      <c r="I219" s="25">
        <f t="shared" si="156"/>
        <v>-1.3298475034012225E-3</v>
      </c>
      <c r="J219" s="26">
        <f t="shared" si="157"/>
        <v>80</v>
      </c>
      <c r="K219" s="26">
        <f t="shared" si="158"/>
        <v>58.303267204093657</v>
      </c>
      <c r="L219" s="26">
        <f t="shared" si="159"/>
        <v>-38.56557759863545</v>
      </c>
      <c r="M219" s="27">
        <f t="shared" si="160"/>
        <v>6192</v>
      </c>
      <c r="N219" s="27">
        <f t="shared" si="161"/>
        <v>2466.2282027331617</v>
      </c>
      <c r="O219" s="27">
        <f t="shared" si="162"/>
        <v>-1631.3239324222793</v>
      </c>
      <c r="P219" s="9">
        <f t="shared" si="163"/>
        <v>-15823.061099999999</v>
      </c>
      <c r="Q219" s="27">
        <f t="shared" si="164"/>
        <v>-8796.1568296891164</v>
      </c>
      <c r="R219" s="27">
        <f t="shared" si="165"/>
        <v>123850.67070154617</v>
      </c>
      <c r="S219" s="16">
        <f t="shared" si="166"/>
        <v>0.7900508321995926</v>
      </c>
      <c r="T219" s="27">
        <f t="shared" si="167"/>
        <v>-6949.4110234540167</v>
      </c>
      <c r="U219" s="27">
        <f t="shared" si="168"/>
        <v>97848.325456234248</v>
      </c>
    </row>
    <row r="220" spans="1:21">
      <c r="B220" s="22">
        <v>0.44919999999999999</v>
      </c>
      <c r="C220" s="26">
        <f t="shared" si="150"/>
        <v>71.230285714285728</v>
      </c>
      <c r="D220" s="29">
        <f t="shared" si="151"/>
        <v>0.505179331306991</v>
      </c>
      <c r="E220" s="24">
        <f t="shared" si="152"/>
        <v>-4.2116916560371587E-5</v>
      </c>
      <c r="F220" s="17">
        <f t="shared" si="153"/>
        <v>2.9384852350123935E-3</v>
      </c>
      <c r="G220" s="25">
        <f t="shared" si="154"/>
        <v>2.3067314866068197E-3</v>
      </c>
      <c r="H220" s="25">
        <f t="shared" si="155"/>
        <v>1.4538639262592951E-3</v>
      </c>
      <c r="I220" s="25">
        <f t="shared" si="156"/>
        <v>-1.5153786912469019E-3</v>
      </c>
      <c r="J220" s="26">
        <f t="shared" si="157"/>
        <v>66.895213111597769</v>
      </c>
      <c r="K220" s="26">
        <f t="shared" si="158"/>
        <v>42.16205386151956</v>
      </c>
      <c r="L220" s="26">
        <f t="shared" si="159"/>
        <v>-43.945982046160154</v>
      </c>
      <c r="M220" s="27">
        <f t="shared" si="160"/>
        <v>5177.6894948376676</v>
      </c>
      <c r="N220" s="27">
        <f t="shared" si="161"/>
        <v>1783.4548783422772</v>
      </c>
      <c r="O220" s="27">
        <f t="shared" si="162"/>
        <v>-1858.9150405525743</v>
      </c>
      <c r="P220" s="9">
        <f t="shared" si="163"/>
        <v>-17800.448400000001</v>
      </c>
      <c r="Q220" s="27">
        <f t="shared" si="164"/>
        <v>-12698.219067372631</v>
      </c>
      <c r="R220" s="27">
        <f t="shared" si="165"/>
        <v>130302.12518277706</v>
      </c>
      <c r="S220" s="16">
        <f t="shared" si="166"/>
        <v>0.72820710291769952</v>
      </c>
      <c r="T220" s="27">
        <f t="shared" si="167"/>
        <v>-9246.9333192657159</v>
      </c>
      <c r="U220" s="27">
        <f t="shared" si="168"/>
        <v>94886.933083369498</v>
      </c>
    </row>
    <row r="221" spans="1:21">
      <c r="B221" s="22">
        <v>0.49909999999999999</v>
      </c>
      <c r="C221" s="26">
        <f t="shared" si="150"/>
        <v>79.143000000000015</v>
      </c>
      <c r="D221" s="29">
        <f t="shared" si="151"/>
        <v>0.56129787234042561</v>
      </c>
      <c r="E221" s="24">
        <f t="shared" si="152"/>
        <v>-3.7906068761608724E-5</v>
      </c>
      <c r="F221" s="17">
        <f t="shared" si="153"/>
        <v>2.3447556953868302E-3</v>
      </c>
      <c r="G221" s="25">
        <f t="shared" si="154"/>
        <v>1.7761646639626995E-3</v>
      </c>
      <c r="H221" s="25">
        <f t="shared" si="155"/>
        <v>1.0085667715401228E-3</v>
      </c>
      <c r="I221" s="25">
        <f t="shared" si="156"/>
        <v>-1.6638110761532923E-3</v>
      </c>
      <c r="J221" s="26">
        <f t="shared" si="157"/>
        <v>51.508775254918284</v>
      </c>
      <c r="K221" s="26">
        <f t="shared" si="158"/>
        <v>29.248436374663562</v>
      </c>
      <c r="L221" s="26">
        <f t="shared" si="159"/>
        <v>-48.250521208445477</v>
      </c>
      <c r="M221" s="27">
        <f t="shared" si="160"/>
        <v>3986.7792047306752</v>
      </c>
      <c r="N221" s="27">
        <f t="shared" si="161"/>
        <v>1237.2088586482687</v>
      </c>
      <c r="O221" s="27">
        <f t="shared" si="162"/>
        <v>-2040.9970471172435</v>
      </c>
      <c r="P221" s="9">
        <f t="shared" si="163"/>
        <v>-19777.835700000003</v>
      </c>
      <c r="Q221" s="27">
        <f t="shared" si="164"/>
        <v>-16594.844683738302</v>
      </c>
      <c r="R221" s="27">
        <f t="shared" si="165"/>
        <v>135279.44566439965</v>
      </c>
      <c r="S221" s="16">
        <f t="shared" si="166"/>
        <v>0.6787296412822359</v>
      </c>
      <c r="T221" s="27">
        <f t="shared" si="167"/>
        <v>-11263.412979328117</v>
      </c>
      <c r="U221" s="27">
        <f t="shared" si="168"/>
        <v>91818.169628657692</v>
      </c>
    </row>
    <row r="222" spans="1:21">
      <c r="B222" s="22">
        <v>0.54900000000000004</v>
      </c>
      <c r="C222" s="26">
        <f t="shared" si="150"/>
        <v>87.055714285714288</v>
      </c>
      <c r="D222" s="29">
        <f t="shared" si="151"/>
        <v>0.61741641337386022</v>
      </c>
      <c r="E222" s="24">
        <f t="shared" si="152"/>
        <v>-3.4460690198395119E-5</v>
      </c>
      <c r="F222" s="17">
        <f t="shared" si="153"/>
        <v>1.8589573179737114E-3</v>
      </c>
      <c r="G222" s="25">
        <f t="shared" si="154"/>
        <v>1.3420469649977848E-3</v>
      </c>
      <c r="H222" s="25">
        <f t="shared" si="155"/>
        <v>6.4421798848028351E-4</v>
      </c>
      <c r="I222" s="25">
        <f t="shared" si="156"/>
        <v>-1.7852606705065725E-3</v>
      </c>
      <c r="J222" s="26">
        <f t="shared" si="157"/>
        <v>38.919361984935755</v>
      </c>
      <c r="K222" s="26">
        <f t="shared" si="158"/>
        <v>18.682321665928221</v>
      </c>
      <c r="L222" s="26">
        <f t="shared" si="159"/>
        <v>-51.7725594446906</v>
      </c>
      <c r="M222" s="27">
        <f t="shared" si="160"/>
        <v>3012.3586176340277</v>
      </c>
      <c r="N222" s="27">
        <f t="shared" si="161"/>
        <v>790.26220646876368</v>
      </c>
      <c r="O222" s="27">
        <f t="shared" si="162"/>
        <v>-2189.9792645104121</v>
      </c>
      <c r="P222" s="9">
        <f t="shared" si="163"/>
        <v>-21755.223000000002</v>
      </c>
      <c r="Q222" s="27">
        <f t="shared" si="164"/>
        <v>-20142.581440407623</v>
      </c>
      <c r="R222" s="27">
        <f t="shared" si="165"/>
        <v>139768.83227447333</v>
      </c>
      <c r="S222" s="16">
        <f t="shared" si="166"/>
        <v>0.65</v>
      </c>
      <c r="T222" s="27">
        <f t="shared" si="167"/>
        <v>-13092.677936264956</v>
      </c>
      <c r="U222" s="27">
        <f t="shared" si="168"/>
        <v>90849.740978407674</v>
      </c>
    </row>
    <row r="223" spans="1:21">
      <c r="B223" s="22">
        <v>0.59889999999999999</v>
      </c>
      <c r="C223" s="26">
        <f t="shared" si="150"/>
        <v>94.968428571428575</v>
      </c>
      <c r="D223" s="29">
        <f t="shared" si="151"/>
        <v>0.67353495440729483</v>
      </c>
      <c r="E223" s="24">
        <f t="shared" si="152"/>
        <v>-3.1589445514975652E-5</v>
      </c>
      <c r="F223" s="17">
        <f t="shared" si="153"/>
        <v>1.4541118176115669E-3</v>
      </c>
      <c r="G223" s="25">
        <f t="shared" si="154"/>
        <v>9.8027013488693224E-4</v>
      </c>
      <c r="H223" s="25">
        <f t="shared" si="155"/>
        <v>3.4058386320867521E-4</v>
      </c>
      <c r="I223" s="25">
        <f t="shared" si="156"/>
        <v>-1.8864720455971083E-3</v>
      </c>
      <c r="J223" s="26">
        <f t="shared" si="157"/>
        <v>28.427833911721034</v>
      </c>
      <c r="K223" s="26">
        <f t="shared" si="158"/>
        <v>9.8769320330515811</v>
      </c>
      <c r="L223" s="26">
        <f t="shared" si="159"/>
        <v>-54.707689322316142</v>
      </c>
      <c r="M223" s="27">
        <f t="shared" si="160"/>
        <v>2200.3143447672082</v>
      </c>
      <c r="N223" s="27">
        <f t="shared" si="161"/>
        <v>417.79422499808186</v>
      </c>
      <c r="O223" s="27">
        <f t="shared" si="162"/>
        <v>-2314.1352583339726</v>
      </c>
      <c r="P223" s="9">
        <f t="shared" si="163"/>
        <v>-23732.610300000004</v>
      </c>
      <c r="Q223" s="27">
        <f t="shared" si="164"/>
        <v>-23428.636988568687</v>
      </c>
      <c r="R223" s="27">
        <f t="shared" si="165"/>
        <v>143664.10807675525</v>
      </c>
      <c r="S223" s="16">
        <f t="shared" si="166"/>
        <v>0.65</v>
      </c>
      <c r="T223" s="27">
        <f t="shared" si="167"/>
        <v>-15228.614042569647</v>
      </c>
      <c r="U223" s="27">
        <f t="shared" si="168"/>
        <v>93381.670249890914</v>
      </c>
    </row>
    <row r="224" spans="1:21">
      <c r="B224" s="22">
        <v>0.64880000000000004</v>
      </c>
      <c r="C224" s="26">
        <f t="shared" si="150"/>
        <v>102.88114285714286</v>
      </c>
      <c r="D224" s="29">
        <f t="shared" si="151"/>
        <v>0.72965349544072955</v>
      </c>
      <c r="E224" s="24">
        <f t="shared" si="152"/>
        <v>-2.9159862698703635E-5</v>
      </c>
      <c r="F224" s="17">
        <f t="shared" si="153"/>
        <v>1.1115406405172125E-3</v>
      </c>
      <c r="G224" s="25">
        <f t="shared" si="154"/>
        <v>6.7414270003665795E-4</v>
      </c>
      <c r="H224" s="25">
        <f t="shared" si="155"/>
        <v>8.3655480387909341E-5</v>
      </c>
      <c r="I224" s="25">
        <f t="shared" si="156"/>
        <v>-1.9721148398706969E-3</v>
      </c>
      <c r="J224" s="26">
        <f t="shared" si="157"/>
        <v>19.550138301063079</v>
      </c>
      <c r="K224" s="26">
        <f t="shared" si="158"/>
        <v>2.4260089312493709</v>
      </c>
      <c r="L224" s="26">
        <f t="shared" si="159"/>
        <v>-57.191330356250212</v>
      </c>
      <c r="M224" s="27">
        <f t="shared" si="160"/>
        <v>1513.1807045022824</v>
      </c>
      <c r="N224" s="27">
        <f t="shared" si="161"/>
        <v>102.62017779184838</v>
      </c>
      <c r="O224" s="27">
        <f t="shared" si="162"/>
        <v>-2419.1932740693837</v>
      </c>
      <c r="P224" s="9">
        <f t="shared" si="163"/>
        <v>-25709.997599999999</v>
      </c>
      <c r="Q224" s="27">
        <f t="shared" si="164"/>
        <v>-26513.389991775253</v>
      </c>
      <c r="R224" s="27">
        <f t="shared" si="165"/>
        <v>146891.76092611544</v>
      </c>
      <c r="S224" s="16">
        <f t="shared" si="166"/>
        <v>0.65</v>
      </c>
      <c r="T224" s="27">
        <f t="shared" si="167"/>
        <v>-17233.703494653917</v>
      </c>
      <c r="U224" s="27">
        <f t="shared" si="168"/>
        <v>95479.644601975044</v>
      </c>
    </row>
    <row r="225" spans="1:21">
      <c r="B225" s="22">
        <v>0.69869999999999999</v>
      </c>
      <c r="C225" s="26">
        <f t="shared" si="150"/>
        <v>110.79385714285715</v>
      </c>
      <c r="D225" s="29">
        <f t="shared" si="151"/>
        <v>0.78577203647416416</v>
      </c>
      <c r="E225" s="24">
        <f t="shared" si="152"/>
        <v>-2.7077313466321624E-5</v>
      </c>
      <c r="F225" s="17">
        <f t="shared" si="153"/>
        <v>8.1790119875134882E-4</v>
      </c>
      <c r="G225" s="25">
        <f t="shared" si="154"/>
        <v>4.1174149675652451E-4</v>
      </c>
      <c r="H225" s="25">
        <f t="shared" si="155"/>
        <v>-1.365741009364884E-4</v>
      </c>
      <c r="I225" s="25">
        <f t="shared" si="156"/>
        <v>-2.0455247003121628E-3</v>
      </c>
      <c r="J225" s="26">
        <f t="shared" si="157"/>
        <v>11.940503405939211</v>
      </c>
      <c r="K225" s="26">
        <f t="shared" si="158"/>
        <v>-3.9606489271581635</v>
      </c>
      <c r="L225" s="26">
        <f t="shared" si="159"/>
        <v>-59.320216309052725</v>
      </c>
      <c r="M225" s="27">
        <f t="shared" si="160"/>
        <v>924.19496361969493</v>
      </c>
      <c r="N225" s="27">
        <f t="shared" si="161"/>
        <v>-167.5354496187903</v>
      </c>
      <c r="O225" s="27">
        <f t="shared" si="162"/>
        <v>-2509.2451498729301</v>
      </c>
      <c r="P225" s="9">
        <f t="shared" si="163"/>
        <v>-27687.384900000005</v>
      </c>
      <c r="Q225" s="27">
        <f t="shared" si="164"/>
        <v>-29439.970535872031</v>
      </c>
      <c r="R225" s="27">
        <f t="shared" si="165"/>
        <v>149399.27914138278</v>
      </c>
      <c r="S225" s="16">
        <f t="shared" si="166"/>
        <v>0.65</v>
      </c>
      <c r="T225" s="27">
        <f t="shared" si="167"/>
        <v>-19135.98084831682</v>
      </c>
      <c r="U225" s="27">
        <f t="shared" si="168"/>
        <v>97109.531441898813</v>
      </c>
    </row>
    <row r="226" spans="1:21">
      <c r="B226" s="22">
        <v>0.74860000000000004</v>
      </c>
      <c r="C226" s="26">
        <f t="shared" si="150"/>
        <v>118.70657142857145</v>
      </c>
      <c r="D226" s="29">
        <f t="shared" si="151"/>
        <v>0.84189057750759899</v>
      </c>
      <c r="E226" s="24">
        <f t="shared" si="152"/>
        <v>-2.5272400372587383E-5</v>
      </c>
      <c r="F226" s="17">
        <f t="shared" si="153"/>
        <v>5.6340845253482108E-4</v>
      </c>
      <c r="G226" s="25">
        <f t="shared" si="154"/>
        <v>1.8432244694601034E-4</v>
      </c>
      <c r="H226" s="25">
        <f t="shared" si="155"/>
        <v>-3.2744366059888415E-4</v>
      </c>
      <c r="I226" s="25">
        <f t="shared" si="156"/>
        <v>-2.1091478868662948E-3</v>
      </c>
      <c r="J226" s="26">
        <f t="shared" si="157"/>
        <v>5.3453509614343</v>
      </c>
      <c r="K226" s="26">
        <f t="shared" si="158"/>
        <v>-9.4958661573676402</v>
      </c>
      <c r="L226" s="26">
        <f t="shared" si="159"/>
        <v>-61.16528871912255</v>
      </c>
      <c r="M226" s="27">
        <f t="shared" si="160"/>
        <v>413.73016441501483</v>
      </c>
      <c r="N226" s="27">
        <f t="shared" si="161"/>
        <v>-401.67513845665115</v>
      </c>
      <c r="O226" s="27">
        <f t="shared" si="162"/>
        <v>-2587.2917128188838</v>
      </c>
      <c r="P226" s="9">
        <f t="shared" si="163"/>
        <v>-29664.77220000001</v>
      </c>
      <c r="Q226" s="27">
        <f t="shared" si="164"/>
        <v>-32240.008886860531</v>
      </c>
      <c r="R226" s="27">
        <f t="shared" si="165"/>
        <v>151148.15228579115</v>
      </c>
      <c r="S226" s="16">
        <f t="shared" si="166"/>
        <v>0.65</v>
      </c>
      <c r="T226" s="27">
        <f t="shared" si="167"/>
        <v>-20956.005776459344</v>
      </c>
      <c r="U226" s="27">
        <f t="shared" si="168"/>
        <v>98246.298985764253</v>
      </c>
    </row>
    <row r="227" spans="1:21">
      <c r="B227" s="22">
        <v>0.8</v>
      </c>
      <c r="C227" s="26">
        <f t="shared" si="150"/>
        <v>126.85714285714288</v>
      </c>
      <c r="D227" s="29">
        <f t="shared" si="151"/>
        <v>0.89969604863221897</v>
      </c>
      <c r="E227" s="24">
        <f t="shared" si="152"/>
        <v>-2.3648648648648646E-5</v>
      </c>
      <c r="F227" s="17">
        <f t="shared" si="153"/>
        <v>3.3445945945945898E-4</v>
      </c>
      <c r="G227" s="25">
        <f t="shared" si="154"/>
        <v>-2.02702702702707E-5</v>
      </c>
      <c r="H227" s="25">
        <f t="shared" si="155"/>
        <v>-4.9915540540540579E-4</v>
      </c>
      <c r="I227" s="25">
        <f t="shared" si="156"/>
        <v>-2.1663851351351356E-3</v>
      </c>
      <c r="J227" s="26">
        <f t="shared" si="157"/>
        <v>-0.58783783783785026</v>
      </c>
      <c r="K227" s="26">
        <f t="shared" si="158"/>
        <v>-14.475506756756769</v>
      </c>
      <c r="L227" s="26">
        <f t="shared" si="159"/>
        <v>-62.825168918918934</v>
      </c>
      <c r="M227" s="27">
        <f t="shared" si="160"/>
        <v>-45.498648648649613</v>
      </c>
      <c r="N227" s="27">
        <f t="shared" si="161"/>
        <v>-612.31393581081124</v>
      </c>
      <c r="O227" s="27">
        <f t="shared" si="162"/>
        <v>-2657.5046452702709</v>
      </c>
      <c r="P227" s="9">
        <f t="shared" si="163"/>
        <v>-31701.600000000006</v>
      </c>
      <c r="Q227" s="27">
        <f t="shared" si="164"/>
        <v>-35016.917229729734</v>
      </c>
      <c r="R227" s="27">
        <f t="shared" si="165"/>
        <v>152125.95661528714</v>
      </c>
      <c r="S227" s="16">
        <f t="shared" si="166"/>
        <v>0.65</v>
      </c>
      <c r="T227" s="27">
        <f t="shared" ref="T227:T229" si="169">Q227*S227</f>
        <v>-22760.996199324327</v>
      </c>
      <c r="U227" s="27">
        <f t="shared" ref="U227:U229" si="170">R227*S227</f>
        <v>98881.871799936649</v>
      </c>
    </row>
    <row r="228" spans="1:21">
      <c r="B228" s="22">
        <v>0.85</v>
      </c>
      <c r="C228" s="26">
        <f t="shared" si="150"/>
        <v>134.78571428571431</v>
      </c>
      <c r="D228" s="29">
        <f t="shared" si="151"/>
        <v>0.95592705167173264</v>
      </c>
      <c r="E228" s="24">
        <f t="shared" si="152"/>
        <v>-2.2257551669316373E-5</v>
      </c>
      <c r="F228" s="17">
        <f t="shared" si="153"/>
        <v>1.3831478537360844E-4</v>
      </c>
      <c r="G228" s="25">
        <f t="shared" si="154"/>
        <v>-1.9554848966613715E-4</v>
      </c>
      <c r="H228" s="25">
        <f t="shared" si="155"/>
        <v>-6.4626391096979374E-4</v>
      </c>
      <c r="I228" s="25">
        <f t="shared" si="156"/>
        <v>-2.2154213036565981E-3</v>
      </c>
      <c r="J228" s="26">
        <f t="shared" si="157"/>
        <v>-5.6709062003179778</v>
      </c>
      <c r="K228" s="26">
        <f t="shared" si="158"/>
        <v>-18.74165341812402</v>
      </c>
      <c r="L228" s="26">
        <f t="shared" si="159"/>
        <v>-64.247217806041348</v>
      </c>
      <c r="M228" s="27">
        <f t="shared" si="160"/>
        <v>-438.9281399046115</v>
      </c>
      <c r="N228" s="27">
        <f t="shared" si="161"/>
        <v>-792.771939586646</v>
      </c>
      <c r="O228" s="27">
        <f t="shared" si="162"/>
        <v>-2717.6573131955488</v>
      </c>
      <c r="P228" s="9">
        <f t="shared" si="163"/>
        <v>-33682.950000000004</v>
      </c>
      <c r="Q228" s="27">
        <f t="shared" si="164"/>
        <v>-37632.307392686809</v>
      </c>
      <c r="R228" s="27">
        <f t="shared" si="165"/>
        <v>152252.48811953497</v>
      </c>
      <c r="S228" s="16">
        <f t="shared" si="166"/>
        <v>0.65</v>
      </c>
      <c r="T228" s="27">
        <f t="shared" si="169"/>
        <v>-24460.999805246425</v>
      </c>
      <c r="U228" s="27">
        <f t="shared" si="170"/>
        <v>98964.117277697733</v>
      </c>
    </row>
    <row r="229" spans="1:21">
      <c r="B229" s="22">
        <v>0.9</v>
      </c>
      <c r="C229" s="26">
        <f t="shared" si="150"/>
        <v>142.71428571428572</v>
      </c>
      <c r="D229" s="29">
        <f t="shared" si="151"/>
        <v>1.0121580547112463</v>
      </c>
      <c r="E229" s="24">
        <f t="shared" si="152"/>
        <v>-2.1021021021021022E-5</v>
      </c>
      <c r="F229" s="17">
        <f t="shared" si="153"/>
        <v>-3.6036036036036207E-5</v>
      </c>
      <c r="G229" s="25">
        <f t="shared" si="154"/>
        <v>-3.5135135135135151E-4</v>
      </c>
      <c r="H229" s="25">
        <f t="shared" si="155"/>
        <v>-7.7702702702702722E-4</v>
      </c>
      <c r="I229" s="25">
        <f t="shared" si="156"/>
        <v>-2.2590090090090094E-3</v>
      </c>
      <c r="J229" s="26">
        <f t="shared" si="157"/>
        <v>-10.189189189189193</v>
      </c>
      <c r="K229" s="26">
        <f t="shared" si="158"/>
        <v>-22.53378378378379</v>
      </c>
      <c r="L229" s="26">
        <f t="shared" si="159"/>
        <v>-65.511261261261268</v>
      </c>
      <c r="M229" s="27">
        <f t="shared" si="160"/>
        <v>-788.64324324324355</v>
      </c>
      <c r="N229" s="27">
        <f t="shared" si="161"/>
        <v>-953.17905405405418</v>
      </c>
      <c r="O229" s="27">
        <f t="shared" si="162"/>
        <v>-2771.1263513513513</v>
      </c>
      <c r="P229" s="9">
        <f t="shared" si="163"/>
        <v>-35664.300000000003</v>
      </c>
      <c r="Q229" s="27">
        <f t="shared" si="164"/>
        <v>-40177.248648648652</v>
      </c>
      <c r="R229" s="27">
        <f t="shared" si="165"/>
        <v>151548.41810247747</v>
      </c>
      <c r="S229" s="16">
        <f t="shared" si="166"/>
        <v>0.65</v>
      </c>
      <c r="T229" s="27">
        <f t="shared" si="169"/>
        <v>-26115.211621621624</v>
      </c>
      <c r="U229" s="27">
        <f t="shared" si="170"/>
        <v>98506.471766610368</v>
      </c>
    </row>
    <row r="230" spans="1:21">
      <c r="B230" s="22"/>
      <c r="C230" s="26"/>
      <c r="D230" s="29"/>
      <c r="E230" s="24"/>
      <c r="F230" s="17"/>
      <c r="G230" s="25"/>
      <c r="H230" s="25"/>
      <c r="I230" s="25"/>
      <c r="J230" s="26"/>
      <c r="K230" s="26"/>
      <c r="L230" s="26"/>
      <c r="M230" s="27"/>
      <c r="N230" s="27"/>
      <c r="O230" s="27"/>
      <c r="Q230" s="27"/>
      <c r="R230" s="27"/>
    </row>
    <row r="231" spans="1:21">
      <c r="B231" s="11" t="s">
        <v>7</v>
      </c>
      <c r="D231" s="33">
        <v>1.2E-2</v>
      </c>
    </row>
    <row r="232" spans="1:21">
      <c r="B232" s="9" t="s">
        <v>8</v>
      </c>
      <c r="C232" s="9" t="s">
        <v>15</v>
      </c>
      <c r="D232" s="26">
        <f>D231*($D$11-2*$D$12)*$D$13</f>
        <v>92.88</v>
      </c>
    </row>
    <row r="233" spans="1:21">
      <c r="B233" s="9" t="s">
        <v>9</v>
      </c>
      <c r="C233" s="9" t="s">
        <v>15</v>
      </c>
      <c r="D233" s="26">
        <f>D231*$D$10/2*$D$12</f>
        <v>25.38</v>
      </c>
    </row>
    <row r="234" spans="1:21">
      <c r="B234" s="9" t="s">
        <v>10</v>
      </c>
      <c r="C234" s="9" t="s">
        <v>15</v>
      </c>
      <c r="D234" s="26">
        <f>D233</f>
        <v>25.38</v>
      </c>
    </row>
    <row r="236" spans="1:21">
      <c r="B236" s="18" t="s">
        <v>38</v>
      </c>
      <c r="C236" s="18" t="s">
        <v>37</v>
      </c>
      <c r="D236" s="18" t="s">
        <v>47</v>
      </c>
      <c r="E236" s="19" t="s">
        <v>19</v>
      </c>
      <c r="F236" s="19" t="s">
        <v>20</v>
      </c>
      <c r="G236" s="19" t="s">
        <v>21</v>
      </c>
      <c r="H236" s="19" t="s">
        <v>22</v>
      </c>
      <c r="I236" s="19" t="s">
        <v>23</v>
      </c>
      <c r="J236" s="19" t="s">
        <v>24</v>
      </c>
      <c r="K236" s="19" t="s">
        <v>25</v>
      </c>
      <c r="L236" s="19" t="s">
        <v>26</v>
      </c>
      <c r="M236" s="19" t="s">
        <v>27</v>
      </c>
      <c r="N236" s="19" t="s">
        <v>28</v>
      </c>
      <c r="O236" s="19" t="s">
        <v>29</v>
      </c>
      <c r="P236" s="19" t="s">
        <v>30</v>
      </c>
      <c r="Q236" s="19" t="s">
        <v>31</v>
      </c>
      <c r="R236" s="19" t="s">
        <v>32</v>
      </c>
      <c r="S236" s="19" t="s">
        <v>33</v>
      </c>
      <c r="T236" s="19"/>
      <c r="U236" s="19"/>
    </row>
    <row r="237" spans="1:21">
      <c r="B237" s="20"/>
      <c r="C237" s="21" t="s">
        <v>14</v>
      </c>
      <c r="D237" s="21"/>
      <c r="E237" s="21" t="s">
        <v>39</v>
      </c>
      <c r="F237" s="20"/>
      <c r="G237" s="20"/>
      <c r="H237" s="20"/>
      <c r="I237" s="20"/>
      <c r="J237" s="21" t="s">
        <v>13</v>
      </c>
      <c r="K237" s="21" t="s">
        <v>13</v>
      </c>
      <c r="L237" s="21" t="s">
        <v>13</v>
      </c>
      <c r="M237" s="21" t="s">
        <v>41</v>
      </c>
      <c r="N237" s="21" t="s">
        <v>41</v>
      </c>
      <c r="O237" s="21" t="s">
        <v>41</v>
      </c>
      <c r="P237" s="21" t="s">
        <v>41</v>
      </c>
      <c r="Q237" s="21" t="s">
        <v>41</v>
      </c>
      <c r="R237" s="21" t="s">
        <v>42</v>
      </c>
      <c r="S237" s="21"/>
      <c r="T237" s="21"/>
      <c r="U237" s="21"/>
    </row>
    <row r="238" spans="1:21">
      <c r="A238" s="15" t="s">
        <v>36</v>
      </c>
      <c r="B238" s="22"/>
      <c r="C238" s="23"/>
      <c r="D238" s="23"/>
      <c r="E238" s="24"/>
      <c r="F238" s="17"/>
      <c r="G238" s="25"/>
      <c r="H238" s="25"/>
      <c r="I238" s="25"/>
      <c r="J238" s="26"/>
      <c r="K238" s="26"/>
      <c r="L238" s="26"/>
      <c r="M238" s="27"/>
      <c r="N238" s="27"/>
      <c r="O238" s="27"/>
      <c r="P238" s="27"/>
      <c r="Q238" s="27"/>
      <c r="R238" s="27"/>
      <c r="S238" s="16"/>
      <c r="T238" s="27"/>
      <c r="U238" s="27"/>
    </row>
    <row r="239" spans="1:21">
      <c r="B239" s="22">
        <v>1.0000000000000001E-5</v>
      </c>
      <c r="C239" s="23">
        <f t="shared" ref="C239:C257" si="171">B239/$D$15*$D$13</f>
        <v>4.285714285714286E-4</v>
      </c>
      <c r="D239" s="29">
        <f>C239/$D$10</f>
        <v>3.0395136778115506E-6</v>
      </c>
      <c r="E239" s="24">
        <f t="shared" ref="E239:E257" si="172">-0.003/C239</f>
        <v>-7</v>
      </c>
      <c r="F239" s="17">
        <f t="shared" ref="F239:F257" si="173">E239*(C239-$D$10)</f>
        <v>986.99700000000007</v>
      </c>
      <c r="G239" s="25">
        <f t="shared" ref="G239:G257" si="174">E239*(C239-$D$20)</f>
        <v>104.997</v>
      </c>
      <c r="H239" s="25">
        <f t="shared" ref="H239:H257" si="175">E239*(C239-$D$21)</f>
        <v>246.74700000000001</v>
      </c>
      <c r="I239" s="17">
        <f t="shared" ref="I239:I257" si="176">E239*(C239-$D$22)</f>
        <v>740.24699999999996</v>
      </c>
      <c r="J239" s="26">
        <f t="shared" ref="J239:J257" si="177">SIGN(G239)*MIN($D$8*ABS(G239),$D$7)</f>
        <v>80</v>
      </c>
      <c r="K239" s="26">
        <f t="shared" ref="K239:K257" si="178">SIGN(H239)*MIN($D$8*ABS(H239),$D$7)</f>
        <v>80</v>
      </c>
      <c r="L239" s="26">
        <f t="shared" ref="L239:L257" si="179">SIGN(I239)*MIN($D$8*ABS(I239),$D$7)</f>
        <v>80</v>
      </c>
      <c r="M239" s="27">
        <f t="shared" ref="M239:M257" si="180">$D$232*J239</f>
        <v>7430.4</v>
      </c>
      <c r="N239" s="27">
        <f t="shared" ref="N239:N257" si="181">$D$233*K239*2</f>
        <v>4060.7999999999997</v>
      </c>
      <c r="O239" s="27">
        <f t="shared" ref="O239:O257" si="182">$D$234*L239*2</f>
        <v>4060.7999999999997</v>
      </c>
      <c r="P239" s="27">
        <f t="shared" ref="P239:P257" si="183">$D$15*C239*$D$11*(-0.85*$D$6)</f>
        <v>-0.56763000000000008</v>
      </c>
      <c r="Q239" s="27">
        <f t="shared" ref="Q239:Q257" si="184">SUM(M239:P239)</f>
        <v>15551.432369999999</v>
      </c>
      <c r="R239" s="27">
        <f t="shared" ref="R239:R257" si="185">(P239*($D$18-$D$15*C239/2)+M239*($D$18-$D$20)+N239*($D$18-$D$21)+O239*($D$18-$D$22))/12</f>
        <v>-2.0805145296229361</v>
      </c>
      <c r="S239" s="16">
        <f>MAX(0.65,MIN(0.9,0.65+(F239-0.002)*250/3))</f>
        <v>0.9</v>
      </c>
      <c r="T239" s="27">
        <f t="shared" ref="T239:T257" si="186">S239*Q239</f>
        <v>13996.289132999998</v>
      </c>
      <c r="U239" s="27">
        <f t="shared" ref="U239:U257" si="187">S239*R239</f>
        <v>-1.8724630766606425</v>
      </c>
    </row>
    <row r="240" spans="1:21">
      <c r="B240" s="22">
        <v>0.05</v>
      </c>
      <c r="C240" s="23">
        <f t="shared" si="171"/>
        <v>2.1428571428571432</v>
      </c>
      <c r="D240" s="29">
        <f t="shared" ref="D240:D256" si="188">C240/$D$10</f>
        <v>1.5197568389057753E-2</v>
      </c>
      <c r="E240" s="24">
        <f t="shared" si="172"/>
        <v>-1.3999999999999998E-3</v>
      </c>
      <c r="F240" s="17">
        <f t="shared" si="173"/>
        <v>0.19439999999999996</v>
      </c>
      <c r="G240" s="25">
        <f t="shared" si="174"/>
        <v>1.7999999999999999E-2</v>
      </c>
      <c r="H240" s="25">
        <f t="shared" si="175"/>
        <v>4.6349999999999988E-2</v>
      </c>
      <c r="I240" s="25">
        <f t="shared" si="176"/>
        <v>0.14504999999999998</v>
      </c>
      <c r="J240" s="26">
        <f t="shared" si="177"/>
        <v>80</v>
      </c>
      <c r="K240" s="26">
        <f t="shared" si="178"/>
        <v>80</v>
      </c>
      <c r="L240" s="26">
        <f t="shared" si="179"/>
        <v>80</v>
      </c>
      <c r="M240" s="27">
        <f t="shared" si="180"/>
        <v>7430.4</v>
      </c>
      <c r="N240" s="27">
        <f t="shared" si="181"/>
        <v>4060.7999999999997</v>
      </c>
      <c r="O240" s="27">
        <f t="shared" si="182"/>
        <v>4060.7999999999997</v>
      </c>
      <c r="P240" s="27">
        <f t="shared" si="183"/>
        <v>-2838.1500000000005</v>
      </c>
      <c r="Q240" s="27">
        <f t="shared" si="184"/>
        <v>12713.849999999999</v>
      </c>
      <c r="R240" s="27">
        <f t="shared" si="185"/>
        <v>-10225.223749999999</v>
      </c>
      <c r="S240" s="16">
        <f t="shared" ref="S240:S257" si="189">MAX(0.65,MIN(0.9,0.65+(F240-0.002)*250/3))</f>
        <v>0.9</v>
      </c>
      <c r="T240" s="27">
        <f t="shared" si="186"/>
        <v>11442.464999999998</v>
      </c>
      <c r="U240" s="27">
        <f t="shared" si="187"/>
        <v>-9202.7013749999987</v>
      </c>
    </row>
    <row r="241" spans="2:24">
      <c r="B241" s="22">
        <v>0.1</v>
      </c>
      <c r="C241" s="23">
        <f t="shared" si="171"/>
        <v>4.2857142857142865</v>
      </c>
      <c r="D241" s="29">
        <f t="shared" si="188"/>
        <v>3.0395136778115506E-2</v>
      </c>
      <c r="E241" s="24">
        <f t="shared" si="172"/>
        <v>-6.9999999999999988E-4</v>
      </c>
      <c r="F241" s="17">
        <f t="shared" si="173"/>
        <v>9.5699999999999993E-2</v>
      </c>
      <c r="G241" s="25">
        <f t="shared" si="174"/>
        <v>7.499999999999998E-3</v>
      </c>
      <c r="H241" s="25">
        <f t="shared" si="175"/>
        <v>2.1674999999999996E-2</v>
      </c>
      <c r="I241" s="25">
        <f t="shared" si="176"/>
        <v>7.1024999999999991E-2</v>
      </c>
      <c r="J241" s="26">
        <f t="shared" si="177"/>
        <v>80</v>
      </c>
      <c r="K241" s="26">
        <f t="shared" si="178"/>
        <v>80</v>
      </c>
      <c r="L241" s="26">
        <f t="shared" si="179"/>
        <v>80</v>
      </c>
      <c r="M241" s="27">
        <f t="shared" si="180"/>
        <v>7430.4</v>
      </c>
      <c r="N241" s="27">
        <f t="shared" si="181"/>
        <v>4060.7999999999997</v>
      </c>
      <c r="O241" s="27">
        <f t="shared" si="182"/>
        <v>4060.7999999999997</v>
      </c>
      <c r="P241" s="27">
        <f t="shared" si="183"/>
        <v>-5676.3000000000011</v>
      </c>
      <c r="Q241" s="27">
        <f t="shared" si="184"/>
        <v>9875.6999999999971</v>
      </c>
      <c r="R241" s="27">
        <f t="shared" si="185"/>
        <v>-20095.678750000003</v>
      </c>
      <c r="S241" s="16">
        <f t="shared" si="189"/>
        <v>0.9</v>
      </c>
      <c r="T241" s="27">
        <f t="shared" si="186"/>
        <v>8888.1299999999974</v>
      </c>
      <c r="U241" s="27">
        <f t="shared" si="187"/>
        <v>-18086.110875000002</v>
      </c>
    </row>
    <row r="242" spans="2:24">
      <c r="B242" s="22">
        <v>0.15</v>
      </c>
      <c r="C242" s="23">
        <f t="shared" si="171"/>
        <v>6.4285714285714288</v>
      </c>
      <c r="D242" s="29">
        <f t="shared" si="188"/>
        <v>4.5592705167173252E-2</v>
      </c>
      <c r="E242" s="24">
        <f t="shared" si="172"/>
        <v>-4.6666666666666666E-4</v>
      </c>
      <c r="F242" s="17">
        <f t="shared" si="173"/>
        <v>6.2800000000000009E-2</v>
      </c>
      <c r="G242" s="25">
        <f t="shared" si="174"/>
        <v>4.0000000000000001E-3</v>
      </c>
      <c r="H242" s="25">
        <f t="shared" si="175"/>
        <v>1.3449999999999998E-2</v>
      </c>
      <c r="I242" s="25">
        <f t="shared" si="176"/>
        <v>4.6349999999999995E-2</v>
      </c>
      <c r="J242" s="26">
        <f t="shared" si="177"/>
        <v>80</v>
      </c>
      <c r="K242" s="26">
        <f t="shared" si="178"/>
        <v>80</v>
      </c>
      <c r="L242" s="26">
        <f t="shared" si="179"/>
        <v>80</v>
      </c>
      <c r="M242" s="27">
        <f t="shared" si="180"/>
        <v>7430.4</v>
      </c>
      <c r="N242" s="27">
        <f t="shared" si="181"/>
        <v>4060.7999999999997</v>
      </c>
      <c r="O242" s="27">
        <f t="shared" si="182"/>
        <v>4060.7999999999997</v>
      </c>
      <c r="P242" s="27">
        <f t="shared" si="183"/>
        <v>-8514.4500000000007</v>
      </c>
      <c r="Q242" s="27">
        <f t="shared" si="184"/>
        <v>7037.5499999999975</v>
      </c>
      <c r="R242" s="27">
        <f t="shared" si="185"/>
        <v>-29611.365000000002</v>
      </c>
      <c r="S242" s="16">
        <f t="shared" si="189"/>
        <v>0.9</v>
      </c>
      <c r="T242" s="27">
        <f t="shared" si="186"/>
        <v>6333.7949999999983</v>
      </c>
      <c r="U242" s="27">
        <f t="shared" si="187"/>
        <v>-26650.228500000001</v>
      </c>
      <c r="W242" s="32">
        <f>Q265</f>
        <v>7692.3034676938641</v>
      </c>
      <c r="X242" s="32">
        <f>C265</f>
        <v>23.753999999999998</v>
      </c>
    </row>
    <row r="243" spans="2:24">
      <c r="B243" s="22">
        <v>0.2</v>
      </c>
      <c r="C243" s="23">
        <f t="shared" si="171"/>
        <v>8.571428571428573</v>
      </c>
      <c r="D243" s="29">
        <f t="shared" si="188"/>
        <v>6.0790273556231011E-2</v>
      </c>
      <c r="E243" s="24">
        <f t="shared" si="172"/>
        <v>-3.4999999999999994E-4</v>
      </c>
      <c r="F243" s="17">
        <f t="shared" si="173"/>
        <v>4.6349999999999988E-2</v>
      </c>
      <c r="G243" s="25">
        <f t="shared" si="174"/>
        <v>2.249999999999999E-3</v>
      </c>
      <c r="H243" s="25">
        <f t="shared" si="175"/>
        <v>9.3374999999999986E-3</v>
      </c>
      <c r="I243" s="25">
        <f t="shared" si="176"/>
        <v>3.4012499999999994E-2</v>
      </c>
      <c r="J243" s="26">
        <f t="shared" si="177"/>
        <v>65.249999999999972</v>
      </c>
      <c r="K243" s="26">
        <f t="shared" si="178"/>
        <v>80</v>
      </c>
      <c r="L243" s="26">
        <f t="shared" si="179"/>
        <v>80</v>
      </c>
      <c r="M243" s="27">
        <f t="shared" si="180"/>
        <v>6060.4199999999973</v>
      </c>
      <c r="N243" s="27">
        <f t="shared" si="181"/>
        <v>4060.7999999999997</v>
      </c>
      <c r="O243" s="27">
        <f t="shared" si="182"/>
        <v>4060.7999999999997</v>
      </c>
      <c r="P243" s="27">
        <f t="shared" si="183"/>
        <v>-11352.600000000002</v>
      </c>
      <c r="Q243" s="27">
        <f t="shared" si="184"/>
        <v>2829.4199999999946</v>
      </c>
      <c r="R243" s="27">
        <f t="shared" si="185"/>
        <v>-42081.164750000018</v>
      </c>
      <c r="S243" s="16">
        <f t="shared" si="189"/>
        <v>0.9</v>
      </c>
      <c r="T243" s="27">
        <f t="shared" si="186"/>
        <v>2546.4779999999951</v>
      </c>
      <c r="U243" s="27">
        <f t="shared" si="187"/>
        <v>-37873.048275000016</v>
      </c>
      <c r="W243" s="10">
        <v>6581</v>
      </c>
      <c r="X243" s="13">
        <f>X242+((X242-X244)/(W242-W244))*(W243-W242)</f>
        <v>26.18654786973616</v>
      </c>
    </row>
    <row r="244" spans="2:24">
      <c r="B244" s="22">
        <v>0.25</v>
      </c>
      <c r="C244" s="23">
        <f t="shared" si="171"/>
        <v>10.714285714285715</v>
      </c>
      <c r="D244" s="29">
        <f t="shared" si="188"/>
        <v>7.5987841945288764E-2</v>
      </c>
      <c r="E244" s="24">
        <f t="shared" si="172"/>
        <v>-2.7999999999999998E-4</v>
      </c>
      <c r="F244" s="17">
        <f t="shared" si="173"/>
        <v>3.6479999999999992E-2</v>
      </c>
      <c r="G244" s="25">
        <f t="shared" si="174"/>
        <v>1.1999999999999997E-3</v>
      </c>
      <c r="H244" s="25">
        <f t="shared" si="175"/>
        <v>6.8699999999999994E-3</v>
      </c>
      <c r="I244" s="25">
        <f t="shared" si="176"/>
        <v>2.6609999999999995E-2</v>
      </c>
      <c r="J244" s="26">
        <f t="shared" si="177"/>
        <v>34.79999999999999</v>
      </c>
      <c r="K244" s="26">
        <f t="shared" si="178"/>
        <v>80</v>
      </c>
      <c r="L244" s="26">
        <f t="shared" si="179"/>
        <v>80</v>
      </c>
      <c r="M244" s="27">
        <f t="shared" si="180"/>
        <v>3232.2239999999988</v>
      </c>
      <c r="N244" s="27">
        <f t="shared" si="181"/>
        <v>4060.7999999999997</v>
      </c>
      <c r="O244" s="27">
        <f t="shared" si="182"/>
        <v>4060.7999999999997</v>
      </c>
      <c r="P244" s="27">
        <f t="shared" si="183"/>
        <v>-14190.75</v>
      </c>
      <c r="Q244" s="27">
        <f t="shared" si="184"/>
        <v>-2836.9260000000013</v>
      </c>
      <c r="R244" s="27">
        <f t="shared" si="185"/>
        <v>-57718.192450000002</v>
      </c>
      <c r="S244" s="16">
        <f t="shared" si="189"/>
        <v>0.9</v>
      </c>
      <c r="T244" s="27">
        <f t="shared" si="186"/>
        <v>-2553.2334000000014</v>
      </c>
      <c r="U244" s="27">
        <f t="shared" si="187"/>
        <v>-51946.373205000004</v>
      </c>
      <c r="W244" s="32">
        <f>Q266</f>
        <v>4077.3995498775148</v>
      </c>
      <c r="X244" s="32">
        <f>C266</f>
        <v>31.666714285714288</v>
      </c>
    </row>
    <row r="245" spans="2:24">
      <c r="B245" s="22">
        <v>0.3</v>
      </c>
      <c r="C245" s="23">
        <f t="shared" si="171"/>
        <v>12.857142857142858</v>
      </c>
      <c r="D245" s="29">
        <f t="shared" si="188"/>
        <v>9.1185410334346503E-2</v>
      </c>
      <c r="E245" s="24">
        <f t="shared" si="172"/>
        <v>-2.3333333333333333E-4</v>
      </c>
      <c r="F245" s="17">
        <f t="shared" si="173"/>
        <v>2.9899999999999999E-2</v>
      </c>
      <c r="G245" s="25">
        <f t="shared" si="174"/>
        <v>4.999999999999999E-4</v>
      </c>
      <c r="H245" s="25">
        <f t="shared" si="175"/>
        <v>5.2249999999999996E-3</v>
      </c>
      <c r="I245" s="25">
        <f t="shared" si="176"/>
        <v>2.1675E-2</v>
      </c>
      <c r="J245" s="26">
        <f t="shared" si="177"/>
        <v>14.499999999999996</v>
      </c>
      <c r="K245" s="26">
        <f t="shared" si="178"/>
        <v>80</v>
      </c>
      <c r="L245" s="26">
        <f t="shared" si="179"/>
        <v>80</v>
      </c>
      <c r="M245" s="27">
        <f t="shared" si="180"/>
        <v>1346.7599999999995</v>
      </c>
      <c r="N245" s="27">
        <f t="shared" si="181"/>
        <v>4060.7999999999997</v>
      </c>
      <c r="O245" s="27">
        <f t="shared" si="182"/>
        <v>4060.7999999999997</v>
      </c>
      <c r="P245" s="27">
        <f t="shared" si="183"/>
        <v>-17028.900000000001</v>
      </c>
      <c r="Q245" s="27">
        <f t="shared" si="184"/>
        <v>-7560.5400000000027</v>
      </c>
      <c r="R245" s="27">
        <f t="shared" si="185"/>
        <v>-70723.491750000001</v>
      </c>
      <c r="S245" s="16">
        <f t="shared" si="189"/>
        <v>0.9</v>
      </c>
      <c r="T245" s="27">
        <f t="shared" si="186"/>
        <v>-6804.4860000000026</v>
      </c>
      <c r="U245" s="27">
        <f t="shared" si="187"/>
        <v>-63651.142575000005</v>
      </c>
      <c r="W245" s="10"/>
      <c r="X245" s="10"/>
    </row>
    <row r="246" spans="2:24">
      <c r="B246" s="22">
        <v>0.35</v>
      </c>
      <c r="C246" s="23">
        <f t="shared" si="171"/>
        <v>15</v>
      </c>
      <c r="D246" s="29">
        <f t="shared" si="188"/>
        <v>0.10638297872340426</v>
      </c>
      <c r="E246" s="24">
        <f t="shared" si="172"/>
        <v>-2.0000000000000001E-4</v>
      </c>
      <c r="F246" s="17">
        <f t="shared" si="173"/>
        <v>2.52E-2</v>
      </c>
      <c r="G246" s="25">
        <f t="shared" si="174"/>
        <v>0</v>
      </c>
      <c r="H246" s="25">
        <f t="shared" si="175"/>
        <v>4.0499999999999998E-3</v>
      </c>
      <c r="I246" s="25">
        <f t="shared" si="176"/>
        <v>1.8149999999999999E-2</v>
      </c>
      <c r="J246" s="26">
        <f t="shared" si="177"/>
        <v>0</v>
      </c>
      <c r="K246" s="26">
        <f t="shared" si="178"/>
        <v>80</v>
      </c>
      <c r="L246" s="26">
        <f t="shared" si="179"/>
        <v>80</v>
      </c>
      <c r="M246" s="27">
        <f t="shared" si="180"/>
        <v>0</v>
      </c>
      <c r="N246" s="27">
        <f t="shared" si="181"/>
        <v>4060.7999999999997</v>
      </c>
      <c r="O246" s="27">
        <f t="shared" si="182"/>
        <v>4060.7999999999997</v>
      </c>
      <c r="P246" s="27">
        <f t="shared" si="183"/>
        <v>-19867.05</v>
      </c>
      <c r="Q246" s="27">
        <f t="shared" si="184"/>
        <v>-11745.45</v>
      </c>
      <c r="R246" s="27">
        <f t="shared" si="185"/>
        <v>-82072.902499999997</v>
      </c>
      <c r="S246" s="16">
        <f t="shared" si="189"/>
        <v>0.9</v>
      </c>
      <c r="T246" s="44">
        <f t="shared" si="186"/>
        <v>-10570.905000000001</v>
      </c>
      <c r="U246" s="27">
        <f t="shared" si="187"/>
        <v>-73865.612250000006</v>
      </c>
      <c r="W246" s="32">
        <f>Q266</f>
        <v>4077.3995498775148</v>
      </c>
      <c r="X246" s="32">
        <f>C266</f>
        <v>31.666714285714288</v>
      </c>
    </row>
    <row r="247" spans="2:24">
      <c r="B247" s="22">
        <v>0.4</v>
      </c>
      <c r="C247" s="23">
        <f t="shared" si="171"/>
        <v>17.142857142857146</v>
      </c>
      <c r="D247" s="29">
        <f t="shared" si="188"/>
        <v>0.12158054711246202</v>
      </c>
      <c r="E247" s="24">
        <f t="shared" si="172"/>
        <v>-1.7499999999999997E-4</v>
      </c>
      <c r="F247" s="17">
        <f t="shared" si="173"/>
        <v>2.1674999999999996E-2</v>
      </c>
      <c r="G247" s="25">
        <f t="shared" si="174"/>
        <v>-3.750000000000005E-4</v>
      </c>
      <c r="H247" s="25">
        <f t="shared" si="175"/>
        <v>3.1687499999999988E-3</v>
      </c>
      <c r="I247" s="25">
        <f t="shared" si="176"/>
        <v>1.5506249999999997E-2</v>
      </c>
      <c r="J247" s="26">
        <f t="shared" si="177"/>
        <v>-10.875000000000014</v>
      </c>
      <c r="K247" s="26">
        <f t="shared" si="178"/>
        <v>80</v>
      </c>
      <c r="L247" s="26">
        <f t="shared" si="179"/>
        <v>80</v>
      </c>
      <c r="M247" s="27">
        <f t="shared" si="180"/>
        <v>-1010.0700000000013</v>
      </c>
      <c r="N247" s="27">
        <f t="shared" si="181"/>
        <v>4060.7999999999997</v>
      </c>
      <c r="O247" s="27">
        <f t="shared" si="182"/>
        <v>4060.7999999999997</v>
      </c>
      <c r="P247" s="27">
        <f t="shared" si="183"/>
        <v>-22705.200000000004</v>
      </c>
      <c r="Q247" s="27">
        <f t="shared" si="184"/>
        <v>-15593.670000000006</v>
      </c>
      <c r="R247" s="27">
        <f t="shared" si="185"/>
        <v>-92254.344625000027</v>
      </c>
      <c r="S247" s="16">
        <f t="shared" si="189"/>
        <v>0.9</v>
      </c>
      <c r="T247" s="44">
        <f t="shared" si="186"/>
        <v>-14034.303000000005</v>
      </c>
      <c r="U247" s="27">
        <f t="shared" si="187"/>
        <v>-83028.910162500033</v>
      </c>
      <c r="W247" s="10">
        <v>1522</v>
      </c>
      <c r="X247" s="13">
        <f>X246+((X246-X248)/(W246-W248))*(W247-W246)</f>
        <v>38.497476345715327</v>
      </c>
    </row>
    <row r="248" spans="2:24">
      <c r="B248" s="22">
        <v>0.45</v>
      </c>
      <c r="C248" s="23">
        <f t="shared" si="171"/>
        <v>19.285714285714288</v>
      </c>
      <c r="D248" s="29">
        <f t="shared" si="188"/>
        <v>0.13677811550151978</v>
      </c>
      <c r="E248" s="24">
        <f t="shared" si="172"/>
        <v>-1.5555555555555554E-4</v>
      </c>
      <c r="F248" s="17">
        <f t="shared" si="173"/>
        <v>1.893333333333333E-2</v>
      </c>
      <c r="G248" s="25">
        <f t="shared" si="174"/>
        <v>-6.6666666666666697E-4</v>
      </c>
      <c r="H248" s="25">
        <f t="shared" si="175"/>
        <v>2.4833333333333326E-3</v>
      </c>
      <c r="I248" s="25">
        <f t="shared" si="176"/>
        <v>1.3449999999999997E-2</v>
      </c>
      <c r="J248" s="26">
        <f t="shared" si="177"/>
        <v>-19.333333333333343</v>
      </c>
      <c r="K248" s="26">
        <f t="shared" si="178"/>
        <v>72.016666666666652</v>
      </c>
      <c r="L248" s="26">
        <f t="shared" si="179"/>
        <v>80</v>
      </c>
      <c r="M248" s="27">
        <f t="shared" si="180"/>
        <v>-1795.6800000000007</v>
      </c>
      <c r="N248" s="27">
        <f t="shared" si="181"/>
        <v>3655.5659999999989</v>
      </c>
      <c r="O248" s="27">
        <f t="shared" si="182"/>
        <v>4060.7999999999997</v>
      </c>
      <c r="P248" s="27">
        <f t="shared" si="183"/>
        <v>-25543.350000000006</v>
      </c>
      <c r="Q248" s="27">
        <f t="shared" si="184"/>
        <v>-19622.664000000008</v>
      </c>
      <c r="R248" s="27">
        <f t="shared" si="185"/>
        <v>-101833.80505000002</v>
      </c>
      <c r="S248" s="16">
        <f t="shared" si="189"/>
        <v>0.9</v>
      </c>
      <c r="T248" s="44">
        <f t="shared" si="186"/>
        <v>-17660.397600000008</v>
      </c>
      <c r="U248" s="27">
        <f t="shared" si="187"/>
        <v>-91650.424545000031</v>
      </c>
      <c r="W248" s="32">
        <f>Q267</f>
        <v>1117.2398566528063</v>
      </c>
      <c r="X248" s="32">
        <f>C267</f>
        <v>39.579428571428572</v>
      </c>
    </row>
    <row r="249" spans="2:24">
      <c r="B249" s="22">
        <v>0.5</v>
      </c>
      <c r="C249" s="23">
        <f t="shared" si="171"/>
        <v>21.428571428571431</v>
      </c>
      <c r="D249" s="29">
        <f t="shared" si="188"/>
        <v>0.15197568389057753</v>
      </c>
      <c r="E249" s="24">
        <f t="shared" si="172"/>
        <v>-1.3999999999999999E-4</v>
      </c>
      <c r="F249" s="17">
        <f t="shared" si="173"/>
        <v>1.6739999999999998E-2</v>
      </c>
      <c r="G249" s="25">
        <f t="shared" si="174"/>
        <v>-9.0000000000000019E-4</v>
      </c>
      <c r="H249" s="25">
        <f t="shared" si="175"/>
        <v>1.9349999999999997E-3</v>
      </c>
      <c r="I249" s="25">
        <f t="shared" si="176"/>
        <v>1.1805E-2</v>
      </c>
      <c r="J249" s="26">
        <f t="shared" si="177"/>
        <v>-26.100000000000005</v>
      </c>
      <c r="K249" s="26">
        <f t="shared" si="178"/>
        <v>56.114999999999988</v>
      </c>
      <c r="L249" s="26">
        <f t="shared" si="179"/>
        <v>80</v>
      </c>
      <c r="M249" s="27">
        <f t="shared" si="180"/>
        <v>-2424.1680000000001</v>
      </c>
      <c r="N249" s="27">
        <f t="shared" si="181"/>
        <v>2848.3973999999994</v>
      </c>
      <c r="O249" s="27">
        <f t="shared" si="182"/>
        <v>4060.7999999999997</v>
      </c>
      <c r="P249" s="27">
        <f t="shared" si="183"/>
        <v>-28381.5</v>
      </c>
      <c r="Q249" s="27">
        <f t="shared" si="184"/>
        <v>-23896.470600000001</v>
      </c>
      <c r="R249" s="27">
        <f t="shared" si="185"/>
        <v>-110971.52252000001</v>
      </c>
      <c r="S249" s="16">
        <f t="shared" si="189"/>
        <v>0.9</v>
      </c>
      <c r="T249" s="44">
        <f t="shared" si="186"/>
        <v>-21506.823540000001</v>
      </c>
      <c r="U249" s="27">
        <f t="shared" si="187"/>
        <v>-99874.370268000013</v>
      </c>
    </row>
    <row r="250" spans="2:24">
      <c r="B250" s="22">
        <v>0.55000000000000004</v>
      </c>
      <c r="C250" s="23">
        <f t="shared" si="171"/>
        <v>23.571428571428573</v>
      </c>
      <c r="D250" s="29">
        <f t="shared" si="188"/>
        <v>0.16717325227963528</v>
      </c>
      <c r="E250" s="24">
        <f t="shared" si="172"/>
        <v>-1.2727272727272725E-4</v>
      </c>
      <c r="F250" s="17">
        <f t="shared" si="173"/>
        <v>1.4945454545454543E-2</v>
      </c>
      <c r="G250" s="25">
        <f t="shared" si="174"/>
        <v>-1.090909090909091E-3</v>
      </c>
      <c r="H250" s="25">
        <f t="shared" si="175"/>
        <v>1.4863636363636359E-3</v>
      </c>
      <c r="I250" s="25">
        <f t="shared" si="176"/>
        <v>1.0459090909090907E-2</v>
      </c>
      <c r="J250" s="26">
        <f t="shared" si="177"/>
        <v>-31.636363636363637</v>
      </c>
      <c r="K250" s="26">
        <f t="shared" si="178"/>
        <v>43.104545454545445</v>
      </c>
      <c r="L250" s="26">
        <f t="shared" si="179"/>
        <v>80</v>
      </c>
      <c r="M250" s="27">
        <f t="shared" si="180"/>
        <v>-2938.3854545454546</v>
      </c>
      <c r="N250" s="27">
        <f t="shared" si="181"/>
        <v>2187.9867272727265</v>
      </c>
      <c r="O250" s="27">
        <f t="shared" si="182"/>
        <v>4060.7999999999997</v>
      </c>
      <c r="P250" s="27">
        <f t="shared" si="183"/>
        <v>-31219.65</v>
      </c>
      <c r="Q250" s="27">
        <f t="shared" si="184"/>
        <v>-27909.24872727273</v>
      </c>
      <c r="R250" s="27">
        <f t="shared" si="185"/>
        <v>-119371.66897272728</v>
      </c>
      <c r="S250" s="16">
        <f t="shared" si="189"/>
        <v>0.9</v>
      </c>
      <c r="T250" s="44">
        <f t="shared" si="186"/>
        <v>-25118.323854545459</v>
      </c>
      <c r="U250" s="27">
        <f t="shared" si="187"/>
        <v>-107434.50207545455</v>
      </c>
      <c r="W250" s="47">
        <f>Q246</f>
        <v>-11745.45</v>
      </c>
      <c r="X250" s="47">
        <f>C246</f>
        <v>15</v>
      </c>
    </row>
    <row r="251" spans="2:24">
      <c r="B251" s="22">
        <v>0.6</v>
      </c>
      <c r="C251" s="23">
        <f t="shared" si="171"/>
        <v>25.714285714285715</v>
      </c>
      <c r="D251" s="29">
        <f t="shared" si="188"/>
        <v>0.18237082066869301</v>
      </c>
      <c r="E251" s="24">
        <f t="shared" si="172"/>
        <v>-1.1666666666666667E-4</v>
      </c>
      <c r="F251" s="17">
        <f t="shared" si="173"/>
        <v>1.3449999999999998E-2</v>
      </c>
      <c r="G251" s="25">
        <f t="shared" si="174"/>
        <v>-1.25E-3</v>
      </c>
      <c r="H251" s="25">
        <f t="shared" si="175"/>
        <v>1.1124999999999998E-3</v>
      </c>
      <c r="I251" s="25">
        <f t="shared" si="176"/>
        <v>9.3374999999999986E-3</v>
      </c>
      <c r="J251" s="26">
        <f t="shared" si="177"/>
        <v>-36.25</v>
      </c>
      <c r="K251" s="26">
        <f t="shared" si="178"/>
        <v>32.262499999999996</v>
      </c>
      <c r="L251" s="26">
        <f t="shared" si="179"/>
        <v>80</v>
      </c>
      <c r="M251" s="27">
        <f t="shared" si="180"/>
        <v>-3366.8999999999996</v>
      </c>
      <c r="N251" s="27">
        <f t="shared" si="181"/>
        <v>1637.6444999999997</v>
      </c>
      <c r="O251" s="27">
        <f t="shared" si="182"/>
        <v>4060.7999999999997</v>
      </c>
      <c r="P251" s="27">
        <f t="shared" si="183"/>
        <v>-34057.800000000003</v>
      </c>
      <c r="Q251" s="27">
        <f t="shared" si="184"/>
        <v>-31726.255500000003</v>
      </c>
      <c r="R251" s="27">
        <f t="shared" si="185"/>
        <v>-127129.94497500001</v>
      </c>
      <c r="S251" s="16">
        <f t="shared" si="189"/>
        <v>0.9</v>
      </c>
      <c r="T251" s="44">
        <f t="shared" si="186"/>
        <v>-28553.629950000002</v>
      </c>
      <c r="U251" s="27">
        <f t="shared" si="187"/>
        <v>-114416.95047750001</v>
      </c>
      <c r="W251" s="34">
        <v>-13858</v>
      </c>
      <c r="X251" s="67">
        <f>X250+((X250-X252)/(W250-W252))*(W251-W250)</f>
        <v>16.176360202156545</v>
      </c>
    </row>
    <row r="252" spans="2:24">
      <c r="B252" s="22">
        <v>0.65</v>
      </c>
      <c r="C252" s="23">
        <f t="shared" si="171"/>
        <v>27.857142857142861</v>
      </c>
      <c r="D252" s="29">
        <f t="shared" si="188"/>
        <v>0.19756838905775079</v>
      </c>
      <c r="E252" s="24">
        <f t="shared" si="172"/>
        <v>-1.0769230769230768E-4</v>
      </c>
      <c r="F252" s="17">
        <f t="shared" si="173"/>
        <v>1.2184615384615382E-2</v>
      </c>
      <c r="G252" s="25">
        <f t="shared" si="174"/>
        <v>-1.384615384615385E-3</v>
      </c>
      <c r="H252" s="25">
        <f t="shared" si="175"/>
        <v>7.9615384615384563E-4</v>
      </c>
      <c r="I252" s="25">
        <f t="shared" si="176"/>
        <v>8.3884615384615373E-3</v>
      </c>
      <c r="J252" s="26">
        <f t="shared" si="177"/>
        <v>-40.15384615384616</v>
      </c>
      <c r="K252" s="26">
        <f t="shared" si="178"/>
        <v>23.088461538461523</v>
      </c>
      <c r="L252" s="26">
        <f t="shared" si="179"/>
        <v>80</v>
      </c>
      <c r="M252" s="27">
        <f t="shared" si="180"/>
        <v>-3729.4892307692312</v>
      </c>
      <c r="N252" s="27">
        <f t="shared" si="181"/>
        <v>1171.970307692307</v>
      </c>
      <c r="O252" s="27">
        <f t="shared" si="182"/>
        <v>4060.7999999999997</v>
      </c>
      <c r="P252" s="27">
        <f t="shared" si="183"/>
        <v>-36895.950000000004</v>
      </c>
      <c r="Q252" s="27">
        <f t="shared" si="184"/>
        <v>-35392.668923076926</v>
      </c>
      <c r="R252" s="27">
        <f t="shared" si="185"/>
        <v>-134312.60476538463</v>
      </c>
      <c r="S252" s="16">
        <f t="shared" si="189"/>
        <v>0.9</v>
      </c>
      <c r="T252" s="44">
        <f t="shared" si="186"/>
        <v>-31853.402030769234</v>
      </c>
      <c r="U252" s="27">
        <f t="shared" si="187"/>
        <v>-120881.34428884617</v>
      </c>
      <c r="W252" s="47">
        <f>Q247</f>
        <v>-15593.670000000006</v>
      </c>
      <c r="X252" s="47">
        <f>C247</f>
        <v>17.142857142857146</v>
      </c>
    </row>
    <row r="253" spans="2:24">
      <c r="B253" s="22">
        <v>0.7</v>
      </c>
      <c r="C253" s="23">
        <f t="shared" si="171"/>
        <v>30</v>
      </c>
      <c r="D253" s="29">
        <f t="shared" si="188"/>
        <v>0.21276595744680851</v>
      </c>
      <c r="E253" s="24">
        <f t="shared" si="172"/>
        <v>-1E-4</v>
      </c>
      <c r="F253" s="17">
        <f t="shared" si="173"/>
        <v>1.11E-2</v>
      </c>
      <c r="G253" s="25">
        <f t="shared" si="174"/>
        <v>-1.5E-3</v>
      </c>
      <c r="H253" s="25">
        <f t="shared" si="175"/>
        <v>5.2500000000000008E-4</v>
      </c>
      <c r="I253" s="25">
        <f t="shared" si="176"/>
        <v>7.5750000000000001E-3</v>
      </c>
      <c r="J253" s="26">
        <f t="shared" si="177"/>
        <v>-43.5</v>
      </c>
      <c r="K253" s="26">
        <f t="shared" si="178"/>
        <v>15.225000000000001</v>
      </c>
      <c r="L253" s="26">
        <f t="shared" si="179"/>
        <v>80</v>
      </c>
      <c r="M253" s="27">
        <f t="shared" si="180"/>
        <v>-4040.2799999999997</v>
      </c>
      <c r="N253" s="27">
        <f t="shared" si="181"/>
        <v>772.82100000000003</v>
      </c>
      <c r="O253" s="27">
        <f t="shared" si="182"/>
        <v>4060.7999999999997</v>
      </c>
      <c r="P253" s="27">
        <f t="shared" si="183"/>
        <v>-39734.1</v>
      </c>
      <c r="Q253" s="27">
        <f t="shared" si="184"/>
        <v>-38940.758999999998</v>
      </c>
      <c r="R253" s="27">
        <f t="shared" si="185"/>
        <v>-140966.97279999999</v>
      </c>
      <c r="S253" s="16">
        <f t="shared" si="189"/>
        <v>0.9</v>
      </c>
      <c r="T253" s="44">
        <f t="shared" si="186"/>
        <v>-35046.683100000002</v>
      </c>
      <c r="U253" s="27">
        <f t="shared" si="187"/>
        <v>-126870.27552</v>
      </c>
      <c r="W253" s="34"/>
      <c r="X253" s="34"/>
    </row>
    <row r="254" spans="2:24">
      <c r="B254" s="22">
        <v>0.75</v>
      </c>
      <c r="C254" s="23">
        <f t="shared" si="171"/>
        <v>32.142857142857139</v>
      </c>
      <c r="D254" s="29">
        <f t="shared" si="188"/>
        <v>0.22796352583586624</v>
      </c>
      <c r="E254" s="24">
        <f t="shared" si="172"/>
        <v>-9.3333333333333343E-5</v>
      </c>
      <c r="F254" s="17">
        <f t="shared" si="173"/>
        <v>1.0160000000000001E-2</v>
      </c>
      <c r="G254" s="25">
        <f t="shared" si="174"/>
        <v>-1.5999999999999999E-3</v>
      </c>
      <c r="H254" s="25">
        <f t="shared" si="175"/>
        <v>2.9000000000000044E-4</v>
      </c>
      <c r="I254" s="25">
        <f t="shared" si="176"/>
        <v>6.8700000000000011E-3</v>
      </c>
      <c r="J254" s="26">
        <f t="shared" si="177"/>
        <v>-46.4</v>
      </c>
      <c r="K254" s="26">
        <f t="shared" si="178"/>
        <v>8.4100000000000126</v>
      </c>
      <c r="L254" s="26">
        <f t="shared" si="179"/>
        <v>80</v>
      </c>
      <c r="M254" s="27">
        <f t="shared" si="180"/>
        <v>-4309.6319999999996</v>
      </c>
      <c r="N254" s="27">
        <f t="shared" si="181"/>
        <v>426.89160000000061</v>
      </c>
      <c r="O254" s="27">
        <f t="shared" si="182"/>
        <v>4060.7999999999997</v>
      </c>
      <c r="P254" s="27">
        <f t="shared" si="183"/>
        <v>-42572.249999999993</v>
      </c>
      <c r="Q254" s="27">
        <f t="shared" si="184"/>
        <v>-42394.190399999992</v>
      </c>
      <c r="R254" s="27">
        <f t="shared" si="185"/>
        <v>-147127.75367999999</v>
      </c>
      <c r="S254" s="16">
        <f t="shared" si="189"/>
        <v>0.9</v>
      </c>
      <c r="T254" s="44">
        <f t="shared" si="186"/>
        <v>-38154.771359999992</v>
      </c>
      <c r="U254" s="27">
        <f t="shared" si="187"/>
        <v>-132414.97831199999</v>
      </c>
      <c r="W254" s="47">
        <f>Q247</f>
        <v>-15593.670000000006</v>
      </c>
      <c r="X254" s="47">
        <f>C247</f>
        <v>17.142857142857146</v>
      </c>
    </row>
    <row r="255" spans="2:24">
      <c r="B255" s="22">
        <v>0.8</v>
      </c>
      <c r="C255" s="23">
        <f t="shared" si="171"/>
        <v>34.285714285714292</v>
      </c>
      <c r="D255" s="29">
        <f t="shared" si="188"/>
        <v>0.24316109422492405</v>
      </c>
      <c r="E255" s="24">
        <f t="shared" si="172"/>
        <v>-8.7499999999999986E-5</v>
      </c>
      <c r="F255" s="17">
        <f t="shared" si="173"/>
        <v>9.3374999999999986E-3</v>
      </c>
      <c r="G255" s="25">
        <f t="shared" si="174"/>
        <v>-1.6875000000000002E-3</v>
      </c>
      <c r="H255" s="25">
        <f t="shared" si="175"/>
        <v>8.4374999999999449E-5</v>
      </c>
      <c r="I255" s="25">
        <f t="shared" si="176"/>
        <v>6.2531249999999983E-3</v>
      </c>
      <c r="J255" s="26">
        <f t="shared" si="177"/>
        <v>-48.937500000000007</v>
      </c>
      <c r="K255" s="26">
        <f t="shared" si="178"/>
        <v>2.4468749999999839</v>
      </c>
      <c r="L255" s="26">
        <f t="shared" si="179"/>
        <v>80</v>
      </c>
      <c r="M255" s="27">
        <f t="shared" si="180"/>
        <v>-4545.3150000000005</v>
      </c>
      <c r="N255" s="27">
        <f t="shared" si="181"/>
        <v>124.20337499999918</v>
      </c>
      <c r="O255" s="27">
        <f t="shared" si="182"/>
        <v>4060.7999999999997</v>
      </c>
      <c r="P255" s="27">
        <f t="shared" si="183"/>
        <v>-45410.400000000009</v>
      </c>
      <c r="Q255" s="27">
        <f t="shared" si="184"/>
        <v>-45770.711625000011</v>
      </c>
      <c r="R255" s="27">
        <f t="shared" si="185"/>
        <v>-152820.97585625006</v>
      </c>
      <c r="S255" s="16">
        <f t="shared" si="189"/>
        <v>0.9</v>
      </c>
      <c r="T255" s="44">
        <f t="shared" si="186"/>
        <v>-41193.640462500014</v>
      </c>
      <c r="U255" s="27">
        <f t="shared" si="187"/>
        <v>-137538.87827062505</v>
      </c>
      <c r="W255" s="34">
        <v>-19139</v>
      </c>
      <c r="X255" s="67">
        <f>X254+((X254-X256)/(W254-W256))*(W255-W254)</f>
        <v>19.028473183557551</v>
      </c>
    </row>
    <row r="256" spans="2:24">
      <c r="B256" s="22">
        <v>0.85</v>
      </c>
      <c r="C256" s="23">
        <f t="shared" si="171"/>
        <v>36.428571428571431</v>
      </c>
      <c r="D256" s="29">
        <f t="shared" si="188"/>
        <v>0.25835866261398177</v>
      </c>
      <c r="E256" s="24">
        <f t="shared" si="172"/>
        <v>-8.2352941176470581E-5</v>
      </c>
      <c r="F256" s="17">
        <f t="shared" si="173"/>
        <v>8.6117647058823518E-3</v>
      </c>
      <c r="G256" s="25">
        <f t="shared" si="174"/>
        <v>-1.7647058823529412E-3</v>
      </c>
      <c r="H256" s="25">
        <f t="shared" si="175"/>
        <v>-9.7058823529411919E-5</v>
      </c>
      <c r="I256" s="25">
        <f t="shared" si="176"/>
        <v>5.7088235294117644E-3</v>
      </c>
      <c r="J256" s="26">
        <f t="shared" si="177"/>
        <v>-51.176470588235297</v>
      </c>
      <c r="K256" s="26">
        <f t="shared" si="178"/>
        <v>-2.8147058823529458</v>
      </c>
      <c r="L256" s="26">
        <f t="shared" si="179"/>
        <v>80</v>
      </c>
      <c r="M256" s="27">
        <f t="shared" si="180"/>
        <v>-4753.2705882352939</v>
      </c>
      <c r="N256" s="27">
        <f t="shared" si="181"/>
        <v>-142.87447058823551</v>
      </c>
      <c r="O256" s="27">
        <f t="shared" si="182"/>
        <v>4060.7999999999997</v>
      </c>
      <c r="P256" s="27">
        <f t="shared" si="183"/>
        <v>-48248.55</v>
      </c>
      <c r="Q256" s="27">
        <f t="shared" si="184"/>
        <v>-49083.895058823531</v>
      </c>
      <c r="R256" s="27">
        <f t="shared" si="185"/>
        <v>-158066.54343823533</v>
      </c>
      <c r="S256" s="16">
        <f t="shared" si="189"/>
        <v>0.9</v>
      </c>
      <c r="T256" s="44">
        <f t="shared" si="186"/>
        <v>-44175.505552941177</v>
      </c>
      <c r="U256" s="27">
        <f t="shared" si="187"/>
        <v>-142259.8890944118</v>
      </c>
      <c r="W256" s="47">
        <f>Q248</f>
        <v>-19622.664000000008</v>
      </c>
      <c r="X256" s="47">
        <f>C248</f>
        <v>19.285714285714288</v>
      </c>
    </row>
    <row r="257" spans="1:21">
      <c r="B257" s="22">
        <v>0.9</v>
      </c>
      <c r="C257" s="23">
        <f t="shared" si="171"/>
        <v>38.571428571428577</v>
      </c>
      <c r="D257" s="29">
        <f>C257/$D$10</f>
        <v>0.27355623100303955</v>
      </c>
      <c r="E257" s="24">
        <f t="shared" si="172"/>
        <v>-7.7777777777777768E-5</v>
      </c>
      <c r="F257" s="17">
        <f t="shared" si="173"/>
        <v>7.9666666666666653E-3</v>
      </c>
      <c r="G257" s="25">
        <f t="shared" si="174"/>
        <v>-1.8333333333333335E-3</v>
      </c>
      <c r="H257" s="25">
        <f t="shared" si="175"/>
        <v>-2.5833333333333372E-4</v>
      </c>
      <c r="I257" s="25">
        <f t="shared" si="176"/>
        <v>5.2249999999999987E-3</v>
      </c>
      <c r="J257" s="26">
        <f t="shared" si="177"/>
        <v>-53.166666666666671</v>
      </c>
      <c r="K257" s="26">
        <f t="shared" si="178"/>
        <v>-7.4916666666666778</v>
      </c>
      <c r="L257" s="26">
        <f t="shared" si="179"/>
        <v>80</v>
      </c>
      <c r="M257" s="27">
        <f t="shared" si="180"/>
        <v>-4938.12</v>
      </c>
      <c r="N257" s="27">
        <f t="shared" si="181"/>
        <v>-380.27700000000056</v>
      </c>
      <c r="O257" s="27">
        <f t="shared" si="182"/>
        <v>4060.7999999999997</v>
      </c>
      <c r="P257" s="27">
        <f t="shared" si="183"/>
        <v>-51086.700000000012</v>
      </c>
      <c r="Q257" s="27">
        <f t="shared" si="184"/>
        <v>-52344.297000000013</v>
      </c>
      <c r="R257" s="27">
        <f t="shared" si="185"/>
        <v>-162879.93740000005</v>
      </c>
      <c r="S257" s="16">
        <f t="shared" si="189"/>
        <v>0.9</v>
      </c>
      <c r="T257" s="44">
        <f t="shared" si="186"/>
        <v>-47109.867300000013</v>
      </c>
      <c r="U257" s="27">
        <f t="shared" si="187"/>
        <v>-146591.94366000005</v>
      </c>
    </row>
    <row r="258" spans="1:21">
      <c r="T258" s="45"/>
    </row>
    <row r="259" spans="1:21">
      <c r="B259" s="18" t="s">
        <v>43</v>
      </c>
      <c r="C259" s="18" t="s">
        <v>37</v>
      </c>
      <c r="D259" s="18" t="s">
        <v>47</v>
      </c>
      <c r="E259" s="19" t="s">
        <v>19</v>
      </c>
      <c r="F259" s="19" t="s">
        <v>20</v>
      </c>
      <c r="G259" s="19" t="s">
        <v>21</v>
      </c>
      <c r="H259" s="19" t="s">
        <v>22</v>
      </c>
      <c r="I259" s="19" t="s">
        <v>23</v>
      </c>
      <c r="J259" s="19" t="s">
        <v>24</v>
      </c>
      <c r="K259" s="19" t="s">
        <v>25</v>
      </c>
      <c r="L259" s="19" t="s">
        <v>26</v>
      </c>
      <c r="M259" s="19" t="s">
        <v>27</v>
      </c>
      <c r="N259" s="19" t="s">
        <v>28</v>
      </c>
      <c r="O259" s="19" t="s">
        <v>29</v>
      </c>
      <c r="P259" s="19" t="s">
        <v>30</v>
      </c>
      <c r="Q259" s="19" t="s">
        <v>31</v>
      </c>
      <c r="R259" s="19" t="s">
        <v>32</v>
      </c>
      <c r="S259" s="19" t="s">
        <v>33</v>
      </c>
      <c r="T259" s="78"/>
      <c r="U259" s="19"/>
    </row>
    <row r="260" spans="1:21">
      <c r="C260" s="21" t="s">
        <v>14</v>
      </c>
      <c r="D260" s="21"/>
      <c r="E260" s="21" t="s">
        <v>39</v>
      </c>
      <c r="F260" s="20"/>
      <c r="G260" s="20"/>
      <c r="H260" s="20"/>
      <c r="I260" s="20"/>
      <c r="J260" s="21" t="s">
        <v>13</v>
      </c>
      <c r="K260" s="21" t="s">
        <v>13</v>
      </c>
      <c r="L260" s="21" t="s">
        <v>13</v>
      </c>
      <c r="M260" s="21" t="s">
        <v>41</v>
      </c>
      <c r="N260" s="21" t="s">
        <v>41</v>
      </c>
      <c r="O260" s="21" t="s">
        <v>41</v>
      </c>
      <c r="P260" s="21" t="s">
        <v>41</v>
      </c>
      <c r="Q260" s="21" t="s">
        <v>41</v>
      </c>
      <c r="R260" s="21" t="s">
        <v>42</v>
      </c>
      <c r="S260" s="21"/>
      <c r="T260" s="79"/>
      <c r="U260" s="21"/>
    </row>
    <row r="261" spans="1:21">
      <c r="A261" s="15" t="s">
        <v>44</v>
      </c>
      <c r="B261" s="22"/>
      <c r="C261" s="23"/>
      <c r="D261" s="23"/>
      <c r="E261" s="24"/>
      <c r="F261" s="17"/>
      <c r="G261" s="25"/>
      <c r="H261" s="25"/>
      <c r="I261" s="25"/>
      <c r="J261" s="26"/>
      <c r="K261" s="26"/>
      <c r="L261" s="26"/>
      <c r="M261" s="27"/>
      <c r="N261" s="27"/>
      <c r="O261" s="27"/>
      <c r="P261" s="27"/>
      <c r="Q261" s="27"/>
      <c r="R261" s="27"/>
      <c r="S261" s="16"/>
      <c r="T261" s="44"/>
      <c r="U261" s="27"/>
    </row>
    <row r="262" spans="1:21">
      <c r="B262" s="22">
        <v>1.0000000000000001E-5</v>
      </c>
      <c r="C262" s="30">
        <f>B262/$D$15*($D$10-$D$13)</f>
        <v>1.5857142857142858E-3</v>
      </c>
      <c r="D262" s="29">
        <f>C262/$D$10</f>
        <v>1.1246200607902737E-5</v>
      </c>
      <c r="E262" s="24">
        <f>-0.003/C262</f>
        <v>-1.8918918918918919</v>
      </c>
      <c r="F262" s="17">
        <f>E262*(C262-$D$10)</f>
        <v>266.75375675675679</v>
      </c>
      <c r="G262" s="25">
        <f>E262*(C262-$D$10+$D$20)</f>
        <v>238.37537837837837</v>
      </c>
      <c r="H262" s="25">
        <f>E262*(C262-$D$10+$D$21)</f>
        <v>200.06456756756756</v>
      </c>
      <c r="I262" s="25">
        <f>E262*(C262-$D$10+$D$22)</f>
        <v>66.686189189189193</v>
      </c>
      <c r="J262" s="26">
        <f>SIGN(G262)*MIN($D$8*ABS(G262),$D$7)</f>
        <v>80</v>
      </c>
      <c r="K262" s="26">
        <f>SIGN(H262)*MIN($D$8*ABS(H262),$D$7)</f>
        <v>80</v>
      </c>
      <c r="L262" s="26">
        <f>SIGN(I262)*MIN($D$8*ABS(I262),$D$7)</f>
        <v>80</v>
      </c>
      <c r="M262" s="27">
        <f>J262*$D$232</f>
        <v>7430.4</v>
      </c>
      <c r="N262" s="27">
        <f>K262*$D$233*2</f>
        <v>4060.7999999999997</v>
      </c>
      <c r="O262" s="27">
        <f>L262*$D$234*2</f>
        <v>4060.7999999999997</v>
      </c>
      <c r="P262" s="9">
        <f>$D$15*C262*2*$D$12*(-0.85*$D$6)</f>
        <v>-0.39626999999999996</v>
      </c>
      <c r="Q262" s="27">
        <f>SUM(M262:P262)</f>
        <v>15551.603729999999</v>
      </c>
      <c r="R262" s="27">
        <f>(P262*(-$D$10+$D$18+$D$15*C262/2)+M262*($D$18-$D$20)+N262*($D$18-$D$21)+O262*($D$18-$D$22))/12</f>
        <v>3.2037145475139064</v>
      </c>
      <c r="S262" s="16">
        <f>MAX(0.65,MIN(0.9,0.65+(F262-0.002)*250/3))</f>
        <v>0.9</v>
      </c>
      <c r="T262" s="44">
        <f>Q262*S262</f>
        <v>13996.443357</v>
      </c>
      <c r="U262" s="27">
        <f>R262*S262</f>
        <v>2.8833430927625159</v>
      </c>
    </row>
    <row r="263" spans="1:21">
      <c r="B263" s="22">
        <v>0.05</v>
      </c>
      <c r="C263" s="26">
        <f t="shared" ref="C263:C280" si="190">B263/$D$15*($D$10-$D$13)</f>
        <v>7.9285714285714297</v>
      </c>
      <c r="D263" s="31">
        <f t="shared" ref="D263:D280" si="191">C263/$D$10</f>
        <v>5.6231003039513686E-2</v>
      </c>
      <c r="E263" s="24">
        <f t="shared" ref="E263:E280" si="192">-0.003/C263</f>
        <v>-3.7837837837837834E-4</v>
      </c>
      <c r="F263" s="17">
        <f t="shared" ref="F263:F280" si="193">E263*(C263-$D$10)</f>
        <v>5.0351351351351353E-2</v>
      </c>
      <c r="G263" s="25">
        <f t="shared" ref="G263:G280" si="194">E263*(C263-$D$10+$D$20)</f>
        <v>4.4675675675675673E-2</v>
      </c>
      <c r="H263" s="25">
        <f t="shared" ref="H263:H280" si="195">E263*(C263-$D$10+$D$21)</f>
        <v>3.7013513513513514E-2</v>
      </c>
      <c r="I263" s="25">
        <f t="shared" ref="I263:I280" si="196">E263*(C263-$D$10+$D$22)</f>
        <v>1.0337837837837842E-2</v>
      </c>
      <c r="J263" s="26">
        <f t="shared" ref="J263:J280" si="197">SIGN(G263)*MIN($D$8*ABS(G263),$D$7)</f>
        <v>80</v>
      </c>
      <c r="K263" s="26">
        <f t="shared" ref="K263:K280" si="198">SIGN(H263)*MIN($D$8*ABS(H263),$D$7)</f>
        <v>80</v>
      </c>
      <c r="L263" s="26">
        <f t="shared" ref="L263:L280" si="199">SIGN(I263)*MIN($D$8*ABS(I263),$D$7)</f>
        <v>80</v>
      </c>
      <c r="M263" s="27">
        <f t="shared" ref="M263:M280" si="200">J263*$D$232</f>
        <v>7430.4</v>
      </c>
      <c r="N263" s="27">
        <f t="shared" ref="N263:N280" si="201">K263*$D$233*2</f>
        <v>4060.7999999999997</v>
      </c>
      <c r="O263" s="27">
        <f t="shared" ref="O263:O280" si="202">L263*$D$234*2</f>
        <v>4060.7999999999997</v>
      </c>
      <c r="P263" s="9">
        <f t="shared" ref="P263:P280" si="203">$D$15*C263*2*$D$12*(-0.85*$D$6)</f>
        <v>-1981.3500000000004</v>
      </c>
      <c r="Q263" s="27">
        <f t="shared" ref="Q263:Q280" si="204">SUM(M263:P263)</f>
        <v>13570.649999999998</v>
      </c>
      <c r="R263" s="27">
        <f t="shared" ref="R263:R280" si="205">(P263*(-$D$10+$D$18+$D$15*C263/2)+M263*($D$18-$D$20)+N263*($D$18-$D$21)+O263*($D$18-$D$22))/12</f>
        <v>15560.477187500002</v>
      </c>
      <c r="S263" s="16">
        <f t="shared" ref="S263:S280" si="206">MAX(0.65,MIN(0.9,0.65+(F263-0.002)*250/3))</f>
        <v>0.9</v>
      </c>
      <c r="T263" s="44">
        <f t="shared" ref="T263:T277" si="207">Q263*S263</f>
        <v>12213.584999999999</v>
      </c>
      <c r="U263" s="27">
        <f t="shared" ref="U263:U277" si="208">R263*S263</f>
        <v>14004.429468750002</v>
      </c>
    </row>
    <row r="264" spans="1:21">
      <c r="B264" s="22">
        <v>9.9900000000000003E-2</v>
      </c>
      <c r="C264" s="26">
        <f t="shared" si="190"/>
        <v>15.841285714285718</v>
      </c>
      <c r="D264" s="31">
        <f t="shared" si="191"/>
        <v>0.11234954407294835</v>
      </c>
      <c r="E264" s="24">
        <f t="shared" si="192"/>
        <v>-1.8937856775694609E-4</v>
      </c>
      <c r="F264" s="17">
        <f t="shared" si="193"/>
        <v>2.3702378053729399E-2</v>
      </c>
      <c r="G264" s="25">
        <f t="shared" si="194"/>
        <v>2.0861699537375208E-2</v>
      </c>
      <c r="H264" s="25">
        <f t="shared" si="195"/>
        <v>1.702678354029705E-2</v>
      </c>
      <c r="I264" s="25">
        <f t="shared" si="196"/>
        <v>3.6755945134323495E-3</v>
      </c>
      <c r="J264" s="26">
        <f t="shared" si="197"/>
        <v>80</v>
      </c>
      <c r="K264" s="26">
        <f t="shared" si="198"/>
        <v>80</v>
      </c>
      <c r="L264" s="26">
        <f t="shared" si="199"/>
        <v>80</v>
      </c>
      <c r="M264" s="27">
        <f t="shared" si="200"/>
        <v>7430.4</v>
      </c>
      <c r="N264" s="27">
        <f t="shared" si="201"/>
        <v>4060.7999999999997</v>
      </c>
      <c r="O264" s="27">
        <f t="shared" si="202"/>
        <v>4060.7999999999997</v>
      </c>
      <c r="P264" s="9">
        <f t="shared" si="203"/>
        <v>-3958.7373000000011</v>
      </c>
      <c r="Q264" s="27">
        <f t="shared" si="204"/>
        <v>11593.262699999997</v>
      </c>
      <c r="R264" s="27">
        <f t="shared" si="205"/>
        <v>30176.206336001265</v>
      </c>
      <c r="S264" s="16">
        <f t="shared" si="206"/>
        <v>0.9</v>
      </c>
      <c r="T264" s="44">
        <f t="shared" si="207"/>
        <v>10433.936429999998</v>
      </c>
      <c r="U264" s="27">
        <f t="shared" si="208"/>
        <v>27158.585702401138</v>
      </c>
    </row>
    <row r="265" spans="1:21">
      <c r="B265" s="22">
        <v>0.14979999999999999</v>
      </c>
      <c r="C265" s="26">
        <f t="shared" si="190"/>
        <v>23.753999999999998</v>
      </c>
      <c r="D265" s="31">
        <f t="shared" si="191"/>
        <v>0.16846808510638298</v>
      </c>
      <c r="E265" s="24">
        <f t="shared" si="192"/>
        <v>-1.2629451881788332E-4</v>
      </c>
      <c r="F265" s="17">
        <f t="shared" si="193"/>
        <v>1.4807527153321549E-2</v>
      </c>
      <c r="G265" s="25">
        <f t="shared" si="194"/>
        <v>1.2913109371053298E-2</v>
      </c>
      <c r="H265" s="25">
        <f t="shared" si="195"/>
        <v>1.0355645364991161E-2</v>
      </c>
      <c r="I265" s="25">
        <f t="shared" si="196"/>
        <v>1.4518817883303879E-3</v>
      </c>
      <c r="J265" s="26">
        <f t="shared" si="197"/>
        <v>80</v>
      </c>
      <c r="K265" s="26">
        <f t="shared" si="198"/>
        <v>80</v>
      </c>
      <c r="L265" s="26">
        <f t="shared" si="199"/>
        <v>42.104571861581249</v>
      </c>
      <c r="M265" s="27">
        <f t="shared" si="200"/>
        <v>7430.4</v>
      </c>
      <c r="N265" s="27">
        <f t="shared" si="201"/>
        <v>4060.7999999999997</v>
      </c>
      <c r="O265" s="27">
        <f t="shared" si="202"/>
        <v>2137.228067693864</v>
      </c>
      <c r="P265" s="9">
        <f t="shared" si="203"/>
        <v>-5936.1245999999992</v>
      </c>
      <c r="Q265" s="27">
        <f t="shared" si="204"/>
        <v>7692.3034676938641</v>
      </c>
      <c r="R265" s="27">
        <f t="shared" si="205"/>
        <v>53780.275137514072</v>
      </c>
      <c r="S265" s="16">
        <f t="shared" si="206"/>
        <v>0.9</v>
      </c>
      <c r="T265" s="44">
        <f t="shared" si="207"/>
        <v>6923.0731209244777</v>
      </c>
      <c r="U265" s="27">
        <f t="shared" si="208"/>
        <v>48402.247623762669</v>
      </c>
    </row>
    <row r="266" spans="1:21">
      <c r="B266" s="22">
        <v>0.19969999999999999</v>
      </c>
      <c r="C266" s="26">
        <f t="shared" si="190"/>
        <v>31.666714285714288</v>
      </c>
      <c r="D266" s="31">
        <f t="shared" si="191"/>
        <v>0.22458662613981764</v>
      </c>
      <c r="E266" s="24">
        <f t="shared" si="192"/>
        <v>-9.4736699644060673E-5</v>
      </c>
      <c r="F266" s="17">
        <f t="shared" si="193"/>
        <v>1.0357874649812554E-2</v>
      </c>
      <c r="G266" s="25">
        <f t="shared" si="194"/>
        <v>8.9368241551516445E-3</v>
      </c>
      <c r="H266" s="25">
        <f t="shared" si="195"/>
        <v>7.0184059873594157E-3</v>
      </c>
      <c r="I266" s="25">
        <f t="shared" si="196"/>
        <v>3.3946866245313851E-4</v>
      </c>
      <c r="J266" s="26">
        <f t="shared" si="197"/>
        <v>80</v>
      </c>
      <c r="K266" s="26">
        <f t="shared" si="198"/>
        <v>80</v>
      </c>
      <c r="L266" s="26">
        <f t="shared" si="199"/>
        <v>9.844591211141017</v>
      </c>
      <c r="M266" s="27">
        <f t="shared" si="200"/>
        <v>7430.4</v>
      </c>
      <c r="N266" s="27">
        <f t="shared" si="201"/>
        <v>4060.7999999999997</v>
      </c>
      <c r="O266" s="27">
        <f t="shared" si="202"/>
        <v>499.71144987751802</v>
      </c>
      <c r="P266" s="9">
        <f t="shared" si="203"/>
        <v>-7913.5119000000013</v>
      </c>
      <c r="Q266" s="27">
        <f t="shared" si="204"/>
        <v>4077.3995498775148</v>
      </c>
      <c r="R266" s="27">
        <f t="shared" si="205"/>
        <v>74999.24112450282</v>
      </c>
      <c r="S266" s="16">
        <f t="shared" si="206"/>
        <v>0.9</v>
      </c>
      <c r="T266" s="44">
        <f t="shared" si="207"/>
        <v>3669.6595948897634</v>
      </c>
      <c r="U266" s="27">
        <f t="shared" si="208"/>
        <v>67499.317012052546</v>
      </c>
    </row>
    <row r="267" spans="1:21">
      <c r="B267" s="22">
        <v>0.24959999999999999</v>
      </c>
      <c r="C267" s="26">
        <f t="shared" si="190"/>
        <v>39.579428571428572</v>
      </c>
      <c r="D267" s="29">
        <f t="shared" si="191"/>
        <v>0.28070516717325228</v>
      </c>
      <c r="E267" s="24">
        <f t="shared" si="192"/>
        <v>-7.5796950796950792E-5</v>
      </c>
      <c r="F267" s="17">
        <f t="shared" si="193"/>
        <v>7.687370062370062E-3</v>
      </c>
      <c r="G267" s="25">
        <f t="shared" si="194"/>
        <v>6.5504158004158009E-3</v>
      </c>
      <c r="H267" s="25">
        <f t="shared" si="195"/>
        <v>5.0155275467775474E-3</v>
      </c>
      <c r="I267" s="25">
        <f t="shared" si="196"/>
        <v>-3.2815748440748389E-4</v>
      </c>
      <c r="J267" s="26">
        <f t="shared" si="197"/>
        <v>80</v>
      </c>
      <c r="K267" s="26">
        <f t="shared" si="198"/>
        <v>80</v>
      </c>
      <c r="L267" s="26">
        <f t="shared" si="199"/>
        <v>-9.5165670478170323</v>
      </c>
      <c r="M267" s="27">
        <f t="shared" si="200"/>
        <v>7430.4</v>
      </c>
      <c r="N267" s="27">
        <f t="shared" si="201"/>
        <v>4060.7999999999997</v>
      </c>
      <c r="O267" s="27">
        <f t="shared" si="202"/>
        <v>-483.06094334719256</v>
      </c>
      <c r="P267" s="9">
        <f t="shared" si="203"/>
        <v>-9890.8991999999998</v>
      </c>
      <c r="Q267" s="27">
        <f t="shared" si="204"/>
        <v>1117.2398566528063</v>
      </c>
      <c r="R267" s="27">
        <f t="shared" si="205"/>
        <v>91935.380545804292</v>
      </c>
      <c r="S267" s="16">
        <f t="shared" si="206"/>
        <v>0.9</v>
      </c>
      <c r="T267" s="44">
        <f t="shared" si="207"/>
        <v>1005.5158709875258</v>
      </c>
      <c r="U267" s="27">
        <f t="shared" si="208"/>
        <v>82741.84249122387</v>
      </c>
    </row>
    <row r="268" spans="1:21">
      <c r="B268" s="22">
        <v>0.29949999999999999</v>
      </c>
      <c r="C268" s="26">
        <f t="shared" si="190"/>
        <v>47.492142857142859</v>
      </c>
      <c r="D268" s="29">
        <f t="shared" si="191"/>
        <v>0.33682370820668694</v>
      </c>
      <c r="E268" s="24">
        <f t="shared" si="192"/>
        <v>-6.3168343635789382E-5</v>
      </c>
      <c r="F268" s="17">
        <f t="shared" si="193"/>
        <v>5.9067364526463034E-3</v>
      </c>
      <c r="G268" s="25">
        <f t="shared" si="194"/>
        <v>4.9592112981094623E-3</v>
      </c>
      <c r="H268" s="25">
        <f t="shared" si="195"/>
        <v>3.6800523394847273E-3</v>
      </c>
      <c r="I268" s="25">
        <f t="shared" si="196"/>
        <v>-7.733158868384241E-4</v>
      </c>
      <c r="J268" s="26">
        <f t="shared" si="197"/>
        <v>80</v>
      </c>
      <c r="K268" s="26">
        <f t="shared" si="198"/>
        <v>80</v>
      </c>
      <c r="L268" s="26">
        <f t="shared" si="199"/>
        <v>-22.4261607183143</v>
      </c>
      <c r="M268" s="27">
        <f t="shared" si="200"/>
        <v>7430.4</v>
      </c>
      <c r="N268" s="27">
        <f t="shared" si="201"/>
        <v>4060.7999999999997</v>
      </c>
      <c r="O268" s="27">
        <f t="shared" si="202"/>
        <v>-1138.3519180616338</v>
      </c>
      <c r="P268" s="9">
        <f t="shared" si="203"/>
        <v>-11868.2865</v>
      </c>
      <c r="Q268" s="27">
        <f t="shared" si="204"/>
        <v>-1515.4384180616344</v>
      </c>
      <c r="R268" s="27">
        <f t="shared" si="205"/>
        <v>106273.1877893874</v>
      </c>
      <c r="S268" s="16">
        <f t="shared" si="206"/>
        <v>0.9</v>
      </c>
      <c r="T268" s="44">
        <f t="shared" si="207"/>
        <v>-1363.8945762554711</v>
      </c>
      <c r="U268" s="27">
        <f t="shared" si="208"/>
        <v>95645.86901044866</v>
      </c>
    </row>
    <row r="269" spans="1:21">
      <c r="B269" s="22">
        <v>0.34939999999999999</v>
      </c>
      <c r="C269" s="26">
        <f t="shared" si="190"/>
        <v>55.404857142857146</v>
      </c>
      <c r="D269" s="29">
        <f t="shared" si="191"/>
        <v>0.39294224924012161</v>
      </c>
      <c r="E269" s="24">
        <f t="shared" si="192"/>
        <v>-5.4146877272235026E-5</v>
      </c>
      <c r="F269" s="17">
        <f t="shared" si="193"/>
        <v>4.6347096953851391E-3</v>
      </c>
      <c r="G269" s="25">
        <f t="shared" si="194"/>
        <v>3.8225065363016136E-3</v>
      </c>
      <c r="H269" s="25">
        <f t="shared" si="195"/>
        <v>2.7260322715388545E-3</v>
      </c>
      <c r="I269" s="25">
        <f t="shared" si="196"/>
        <v>-1.0913225761537151E-3</v>
      </c>
      <c r="J269" s="26">
        <f t="shared" si="197"/>
        <v>80</v>
      </c>
      <c r="K269" s="26">
        <f t="shared" si="198"/>
        <v>79.054935874626779</v>
      </c>
      <c r="L269" s="26">
        <f t="shared" si="199"/>
        <v>-31.648354708457738</v>
      </c>
      <c r="M269" s="27">
        <f t="shared" si="200"/>
        <v>7430.4</v>
      </c>
      <c r="N269" s="27">
        <f t="shared" si="201"/>
        <v>4012.8285449960549</v>
      </c>
      <c r="O269" s="27">
        <f t="shared" si="202"/>
        <v>-1606.4704850013147</v>
      </c>
      <c r="P269" s="9">
        <f t="shared" si="203"/>
        <v>-13845.6738</v>
      </c>
      <c r="Q269" s="27">
        <f t="shared" si="204"/>
        <v>-4008.9157400052609</v>
      </c>
      <c r="R269" s="27">
        <f t="shared" si="205"/>
        <v>118699.95195436834</v>
      </c>
      <c r="S269" s="16">
        <f t="shared" si="206"/>
        <v>0.86955914128209499</v>
      </c>
      <c r="T269" s="44">
        <f t="shared" si="207"/>
        <v>-3485.9893283512492</v>
      </c>
      <c r="U269" s="27">
        <f t="shared" si="208"/>
        <v>103216.62829166646</v>
      </c>
    </row>
    <row r="270" spans="1:21">
      <c r="B270" s="22">
        <v>0.39929999999999999</v>
      </c>
      <c r="C270" s="26">
        <f t="shared" si="190"/>
        <v>63.317571428571426</v>
      </c>
      <c r="D270" s="29">
        <f t="shared" si="191"/>
        <v>0.44906079027355622</v>
      </c>
      <c r="E270" s="24">
        <f t="shared" si="192"/>
        <v>-4.7380212669468872E-5</v>
      </c>
      <c r="F270" s="17">
        <f t="shared" si="193"/>
        <v>3.6806099863951106E-3</v>
      </c>
      <c r="G270" s="25">
        <f t="shared" si="194"/>
        <v>2.9699067963530777E-3</v>
      </c>
      <c r="H270" s="25">
        <f t="shared" si="195"/>
        <v>2.010457489796333E-3</v>
      </c>
      <c r="I270" s="25">
        <f t="shared" si="196"/>
        <v>-1.3298475034012225E-3</v>
      </c>
      <c r="J270" s="26">
        <f t="shared" si="197"/>
        <v>80</v>
      </c>
      <c r="K270" s="26">
        <f t="shared" si="198"/>
        <v>58.303267204093657</v>
      </c>
      <c r="L270" s="26">
        <f t="shared" si="199"/>
        <v>-38.56557759863545</v>
      </c>
      <c r="M270" s="27">
        <f t="shared" si="200"/>
        <v>7430.4</v>
      </c>
      <c r="N270" s="27">
        <f t="shared" si="201"/>
        <v>2959.473843279794</v>
      </c>
      <c r="O270" s="27">
        <f t="shared" si="202"/>
        <v>-1957.5887189067353</v>
      </c>
      <c r="P270" s="9">
        <f t="shared" si="203"/>
        <v>-15823.061099999999</v>
      </c>
      <c r="Q270" s="27">
        <f t="shared" si="204"/>
        <v>-7390.7759756269406</v>
      </c>
      <c r="R270" s="27">
        <f t="shared" si="205"/>
        <v>128880.08127704315</v>
      </c>
      <c r="S270" s="16">
        <f t="shared" si="206"/>
        <v>0.7900508321995926</v>
      </c>
      <c r="T270" s="44">
        <f t="shared" si="207"/>
        <v>-5839.0887101448207</v>
      </c>
      <c r="U270" s="27">
        <f t="shared" si="208"/>
        <v>101821.81546687908</v>
      </c>
    </row>
    <row r="271" spans="1:21">
      <c r="B271" s="22">
        <v>0.44919999999999999</v>
      </c>
      <c r="C271" s="26">
        <f t="shared" si="190"/>
        <v>71.230285714285728</v>
      </c>
      <c r="D271" s="29">
        <f t="shared" si="191"/>
        <v>0.505179331306991</v>
      </c>
      <c r="E271" s="24">
        <f t="shared" si="192"/>
        <v>-4.2116916560371587E-5</v>
      </c>
      <c r="F271" s="17">
        <f t="shared" si="193"/>
        <v>2.9384852350123935E-3</v>
      </c>
      <c r="G271" s="25">
        <f t="shared" si="194"/>
        <v>2.3067314866068197E-3</v>
      </c>
      <c r="H271" s="25">
        <f t="shared" si="195"/>
        <v>1.4538639262592951E-3</v>
      </c>
      <c r="I271" s="25">
        <f t="shared" si="196"/>
        <v>-1.5153786912469019E-3</v>
      </c>
      <c r="J271" s="26">
        <f t="shared" si="197"/>
        <v>66.895213111597769</v>
      </c>
      <c r="K271" s="26">
        <f t="shared" si="198"/>
        <v>42.16205386151956</v>
      </c>
      <c r="L271" s="26">
        <f t="shared" si="199"/>
        <v>-43.945982046160154</v>
      </c>
      <c r="M271" s="27">
        <f t="shared" si="200"/>
        <v>6213.2273938052003</v>
      </c>
      <c r="N271" s="27">
        <f t="shared" si="201"/>
        <v>2140.1458540107328</v>
      </c>
      <c r="O271" s="27">
        <f t="shared" si="202"/>
        <v>-2230.6980486630891</v>
      </c>
      <c r="P271" s="9">
        <f t="shared" si="203"/>
        <v>-17800.448400000001</v>
      </c>
      <c r="Q271" s="27">
        <f t="shared" si="204"/>
        <v>-11677.773200847158</v>
      </c>
      <c r="R271" s="27">
        <f t="shared" si="205"/>
        <v>134976.4783850165</v>
      </c>
      <c r="S271" s="16">
        <f t="shared" si="206"/>
        <v>0.72820710291769952</v>
      </c>
      <c r="T271" s="27">
        <f t="shared" si="207"/>
        <v>-8503.8373911188592</v>
      </c>
      <c r="U271" s="27">
        <f t="shared" si="208"/>
        <v>98290.830286786353</v>
      </c>
    </row>
    <row r="272" spans="1:21">
      <c r="B272" s="22">
        <v>0.49909999999999999</v>
      </c>
      <c r="C272" s="26">
        <f t="shared" si="190"/>
        <v>79.143000000000015</v>
      </c>
      <c r="D272" s="29">
        <f t="shared" si="191"/>
        <v>0.56129787234042561</v>
      </c>
      <c r="E272" s="24">
        <f t="shared" si="192"/>
        <v>-3.7906068761608724E-5</v>
      </c>
      <c r="F272" s="17">
        <f t="shared" si="193"/>
        <v>2.3447556953868302E-3</v>
      </c>
      <c r="G272" s="25">
        <f t="shared" si="194"/>
        <v>1.7761646639626995E-3</v>
      </c>
      <c r="H272" s="25">
        <f t="shared" si="195"/>
        <v>1.0085667715401228E-3</v>
      </c>
      <c r="I272" s="25">
        <f t="shared" si="196"/>
        <v>-1.6638110761532923E-3</v>
      </c>
      <c r="J272" s="26">
        <f t="shared" si="197"/>
        <v>51.508775254918284</v>
      </c>
      <c r="K272" s="26">
        <f t="shared" si="198"/>
        <v>29.248436374663562</v>
      </c>
      <c r="L272" s="26">
        <f t="shared" si="199"/>
        <v>-48.250521208445477</v>
      </c>
      <c r="M272" s="27">
        <f t="shared" si="200"/>
        <v>4784.1350456768096</v>
      </c>
      <c r="N272" s="27">
        <f t="shared" si="201"/>
        <v>1484.6506303779224</v>
      </c>
      <c r="O272" s="27">
        <f t="shared" si="202"/>
        <v>-2449.1964565406925</v>
      </c>
      <c r="P272" s="9">
        <f t="shared" si="203"/>
        <v>-19777.835700000003</v>
      </c>
      <c r="Q272" s="27">
        <f t="shared" si="204"/>
        <v>-15958.246480485963</v>
      </c>
      <c r="R272" s="27">
        <f t="shared" si="205"/>
        <v>139486.45720205933</v>
      </c>
      <c r="S272" s="16">
        <f t="shared" si="206"/>
        <v>0.6787296412822359</v>
      </c>
      <c r="T272" s="27">
        <f t="shared" si="207"/>
        <v>-10831.334909193742</v>
      </c>
      <c r="U272" s="27">
        <f t="shared" si="208"/>
        <v>94673.593060483676</v>
      </c>
    </row>
    <row r="273" spans="2:21">
      <c r="B273" s="22">
        <v>0.54900000000000004</v>
      </c>
      <c r="C273" s="26">
        <f t="shared" si="190"/>
        <v>87.055714285714288</v>
      </c>
      <c r="D273" s="29">
        <f t="shared" si="191"/>
        <v>0.61741641337386022</v>
      </c>
      <c r="E273" s="24">
        <f t="shared" si="192"/>
        <v>-3.4460690198395119E-5</v>
      </c>
      <c r="F273" s="17">
        <f t="shared" si="193"/>
        <v>1.8589573179737114E-3</v>
      </c>
      <c r="G273" s="25">
        <f t="shared" si="194"/>
        <v>1.3420469649977848E-3</v>
      </c>
      <c r="H273" s="25">
        <f t="shared" si="195"/>
        <v>6.4421798848028351E-4</v>
      </c>
      <c r="I273" s="25">
        <f t="shared" si="196"/>
        <v>-1.7852606705065725E-3</v>
      </c>
      <c r="J273" s="26">
        <f t="shared" si="197"/>
        <v>38.919361984935755</v>
      </c>
      <c r="K273" s="26">
        <f t="shared" si="198"/>
        <v>18.682321665928221</v>
      </c>
      <c r="L273" s="26">
        <f t="shared" si="199"/>
        <v>-51.7725594446906</v>
      </c>
      <c r="M273" s="27">
        <f t="shared" si="200"/>
        <v>3614.8303411608326</v>
      </c>
      <c r="N273" s="27">
        <f t="shared" si="201"/>
        <v>948.31464776251642</v>
      </c>
      <c r="O273" s="27">
        <f t="shared" si="202"/>
        <v>-2627.9751174124949</v>
      </c>
      <c r="P273" s="9">
        <f t="shared" si="203"/>
        <v>-21755.223000000002</v>
      </c>
      <c r="Q273" s="27">
        <f t="shared" si="204"/>
        <v>-19820.053128489148</v>
      </c>
      <c r="R273" s="27">
        <f t="shared" si="205"/>
        <v>143593.457881843</v>
      </c>
      <c r="S273" s="16">
        <f t="shared" si="206"/>
        <v>0.65</v>
      </c>
      <c r="T273" s="27">
        <f t="shared" si="207"/>
        <v>-12883.034533517946</v>
      </c>
      <c r="U273" s="27">
        <f t="shared" si="208"/>
        <v>93335.747623197953</v>
      </c>
    </row>
    <row r="274" spans="2:21">
      <c r="B274" s="22">
        <v>0.59889999999999999</v>
      </c>
      <c r="C274" s="26">
        <f t="shared" si="190"/>
        <v>94.968428571428575</v>
      </c>
      <c r="D274" s="29">
        <f t="shared" si="191"/>
        <v>0.67353495440729483</v>
      </c>
      <c r="E274" s="24">
        <f t="shared" si="192"/>
        <v>-3.1589445514975652E-5</v>
      </c>
      <c r="F274" s="17">
        <f t="shared" si="193"/>
        <v>1.4541118176115669E-3</v>
      </c>
      <c r="G274" s="25">
        <f t="shared" si="194"/>
        <v>9.8027013488693224E-4</v>
      </c>
      <c r="H274" s="25">
        <f t="shared" si="195"/>
        <v>3.4058386320867521E-4</v>
      </c>
      <c r="I274" s="25">
        <f t="shared" si="196"/>
        <v>-1.8864720455971083E-3</v>
      </c>
      <c r="J274" s="26">
        <f t="shared" si="197"/>
        <v>28.427833911721034</v>
      </c>
      <c r="K274" s="26">
        <f t="shared" si="198"/>
        <v>9.8769320330515811</v>
      </c>
      <c r="L274" s="26">
        <f t="shared" si="199"/>
        <v>-54.707689322316142</v>
      </c>
      <c r="M274" s="27">
        <f t="shared" si="200"/>
        <v>2640.3772137206497</v>
      </c>
      <c r="N274" s="27">
        <f t="shared" si="201"/>
        <v>501.35306999769824</v>
      </c>
      <c r="O274" s="27">
        <f t="shared" si="202"/>
        <v>-2776.962310000767</v>
      </c>
      <c r="P274" s="9">
        <f t="shared" si="203"/>
        <v>-23732.610300000004</v>
      </c>
      <c r="Q274" s="27">
        <f t="shared" si="204"/>
        <v>-23367.842326282422</v>
      </c>
      <c r="R274" s="27">
        <f t="shared" si="205"/>
        <v>147170.06810087603</v>
      </c>
      <c r="S274" s="16">
        <f t="shared" si="206"/>
        <v>0.65</v>
      </c>
      <c r="T274" s="27">
        <f t="shared" si="207"/>
        <v>-15189.097512083574</v>
      </c>
      <c r="U274" s="27">
        <f t="shared" si="208"/>
        <v>95660.544265569421</v>
      </c>
    </row>
    <row r="275" spans="2:21">
      <c r="B275" s="22">
        <v>0.64880000000000004</v>
      </c>
      <c r="C275" s="26">
        <f t="shared" si="190"/>
        <v>102.88114285714286</v>
      </c>
      <c r="D275" s="29">
        <f t="shared" si="191"/>
        <v>0.72965349544072955</v>
      </c>
      <c r="E275" s="24">
        <f t="shared" si="192"/>
        <v>-2.9159862698703635E-5</v>
      </c>
      <c r="F275" s="17">
        <f t="shared" si="193"/>
        <v>1.1115406405172125E-3</v>
      </c>
      <c r="G275" s="25">
        <f t="shared" si="194"/>
        <v>6.7414270003665795E-4</v>
      </c>
      <c r="H275" s="25">
        <f t="shared" si="195"/>
        <v>8.3655480387909341E-5</v>
      </c>
      <c r="I275" s="25">
        <f t="shared" si="196"/>
        <v>-1.9721148398706969E-3</v>
      </c>
      <c r="J275" s="26">
        <f t="shared" si="197"/>
        <v>19.550138301063079</v>
      </c>
      <c r="K275" s="26">
        <f t="shared" si="198"/>
        <v>2.4260089312493709</v>
      </c>
      <c r="L275" s="26">
        <f t="shared" si="199"/>
        <v>-57.191330356250212</v>
      </c>
      <c r="M275" s="27">
        <f t="shared" si="200"/>
        <v>1815.8168454027386</v>
      </c>
      <c r="N275" s="27">
        <f t="shared" si="201"/>
        <v>123.14421335021807</v>
      </c>
      <c r="O275" s="27">
        <f t="shared" si="202"/>
        <v>-2903.0319288832607</v>
      </c>
      <c r="P275" s="9">
        <f t="shared" si="203"/>
        <v>-25709.997599999999</v>
      </c>
      <c r="Q275" s="27">
        <f t="shared" si="204"/>
        <v>-26674.068470130303</v>
      </c>
      <c r="R275" s="27">
        <f t="shared" si="205"/>
        <v>150128.07328500252</v>
      </c>
      <c r="S275" s="16">
        <f t="shared" si="206"/>
        <v>0.65</v>
      </c>
      <c r="T275" s="27">
        <f t="shared" si="207"/>
        <v>-17338.144505584696</v>
      </c>
      <c r="U275" s="27">
        <f t="shared" si="208"/>
        <v>97583.247635251639</v>
      </c>
    </row>
    <row r="276" spans="2:21">
      <c r="B276" s="22">
        <v>0.69869999999999999</v>
      </c>
      <c r="C276" s="26">
        <f t="shared" si="190"/>
        <v>110.79385714285715</v>
      </c>
      <c r="D276" s="29">
        <f t="shared" si="191"/>
        <v>0.78577203647416416</v>
      </c>
      <c r="E276" s="24">
        <f t="shared" si="192"/>
        <v>-2.7077313466321624E-5</v>
      </c>
      <c r="F276" s="17">
        <f t="shared" si="193"/>
        <v>8.1790119875134882E-4</v>
      </c>
      <c r="G276" s="25">
        <f t="shared" si="194"/>
        <v>4.1174149675652451E-4</v>
      </c>
      <c r="H276" s="25">
        <f t="shared" si="195"/>
        <v>-1.365741009364884E-4</v>
      </c>
      <c r="I276" s="25">
        <f t="shared" si="196"/>
        <v>-2.0455247003121628E-3</v>
      </c>
      <c r="J276" s="26">
        <f t="shared" si="197"/>
        <v>11.940503405939211</v>
      </c>
      <c r="K276" s="26">
        <f t="shared" si="198"/>
        <v>-3.9606489271581635</v>
      </c>
      <c r="L276" s="26">
        <f t="shared" si="199"/>
        <v>-59.320216309052725</v>
      </c>
      <c r="M276" s="27">
        <f t="shared" si="200"/>
        <v>1109.0339563436339</v>
      </c>
      <c r="N276" s="27">
        <f t="shared" si="201"/>
        <v>-201.04253954254838</v>
      </c>
      <c r="O276" s="27">
        <f t="shared" si="202"/>
        <v>-3011.094179847516</v>
      </c>
      <c r="P276" s="9">
        <f t="shared" si="203"/>
        <v>-27687.384900000005</v>
      </c>
      <c r="Q276" s="27">
        <f t="shared" si="204"/>
        <v>-29790.487663046435</v>
      </c>
      <c r="R276" s="27">
        <f t="shared" si="205"/>
        <v>152404.45941681706</v>
      </c>
      <c r="S276" s="16">
        <f t="shared" si="206"/>
        <v>0.65</v>
      </c>
      <c r="T276" s="27">
        <f t="shared" si="207"/>
        <v>-19363.816980980184</v>
      </c>
      <c r="U276" s="27">
        <f t="shared" si="208"/>
        <v>99062.898620931097</v>
      </c>
    </row>
    <row r="277" spans="2:21">
      <c r="B277" s="22">
        <v>0.74860000000000004</v>
      </c>
      <c r="C277" s="26">
        <f t="shared" si="190"/>
        <v>118.70657142857145</v>
      </c>
      <c r="D277" s="29">
        <f t="shared" si="191"/>
        <v>0.84189057750759899</v>
      </c>
      <c r="E277" s="24">
        <f t="shared" si="192"/>
        <v>-2.5272400372587383E-5</v>
      </c>
      <c r="F277" s="17">
        <f t="shared" si="193"/>
        <v>5.6340845253482108E-4</v>
      </c>
      <c r="G277" s="25">
        <f t="shared" si="194"/>
        <v>1.8432244694601034E-4</v>
      </c>
      <c r="H277" s="25">
        <f t="shared" si="195"/>
        <v>-3.2744366059888415E-4</v>
      </c>
      <c r="I277" s="25">
        <f t="shared" si="196"/>
        <v>-2.1091478868662948E-3</v>
      </c>
      <c r="J277" s="26">
        <f t="shared" si="197"/>
        <v>5.3453509614343</v>
      </c>
      <c r="K277" s="26">
        <f t="shared" si="198"/>
        <v>-9.4958661573676402</v>
      </c>
      <c r="L277" s="26">
        <f t="shared" si="199"/>
        <v>-61.16528871912255</v>
      </c>
      <c r="M277" s="27">
        <f t="shared" si="200"/>
        <v>496.47619729801778</v>
      </c>
      <c r="N277" s="27">
        <f t="shared" si="201"/>
        <v>-482.01016614798141</v>
      </c>
      <c r="O277" s="27">
        <f t="shared" si="202"/>
        <v>-3104.7500553826603</v>
      </c>
      <c r="P277" s="9">
        <f t="shared" si="203"/>
        <v>-29664.77220000001</v>
      </c>
      <c r="Q277" s="27">
        <f t="shared" si="204"/>
        <v>-32755.056224232634</v>
      </c>
      <c r="R277" s="27">
        <f t="shared" si="205"/>
        <v>153953.01397220037</v>
      </c>
      <c r="S277" s="16">
        <f t="shared" si="206"/>
        <v>0.65</v>
      </c>
      <c r="T277" s="27">
        <f t="shared" si="207"/>
        <v>-21290.786545751213</v>
      </c>
      <c r="U277" s="27">
        <f t="shared" si="208"/>
        <v>100069.45908193024</v>
      </c>
    </row>
    <row r="278" spans="2:21">
      <c r="B278" s="22">
        <v>0.8</v>
      </c>
      <c r="C278" s="26">
        <f t="shared" si="190"/>
        <v>126.85714285714288</v>
      </c>
      <c r="D278" s="29">
        <f t="shared" si="191"/>
        <v>0.89969604863221897</v>
      </c>
      <c r="E278" s="24">
        <f t="shared" si="192"/>
        <v>-2.3648648648648646E-5</v>
      </c>
      <c r="F278" s="17">
        <f t="shared" si="193"/>
        <v>3.3445945945945898E-4</v>
      </c>
      <c r="G278" s="25">
        <f t="shared" si="194"/>
        <v>-2.02702702702707E-5</v>
      </c>
      <c r="H278" s="25">
        <f t="shared" si="195"/>
        <v>-4.9915540540540579E-4</v>
      </c>
      <c r="I278" s="25">
        <f t="shared" si="196"/>
        <v>-2.1663851351351356E-3</v>
      </c>
      <c r="J278" s="26">
        <f t="shared" si="197"/>
        <v>-0.58783783783785026</v>
      </c>
      <c r="K278" s="26">
        <f t="shared" si="198"/>
        <v>-14.475506756756769</v>
      </c>
      <c r="L278" s="26">
        <f t="shared" si="199"/>
        <v>-62.825168918918934</v>
      </c>
      <c r="M278" s="27">
        <f t="shared" si="200"/>
        <v>-54.598378378379529</v>
      </c>
      <c r="N278" s="27">
        <f t="shared" si="201"/>
        <v>-734.77672297297352</v>
      </c>
      <c r="O278" s="27">
        <f t="shared" si="202"/>
        <v>-3189.0055743243252</v>
      </c>
      <c r="P278" s="9">
        <f t="shared" si="203"/>
        <v>-31701.600000000006</v>
      </c>
      <c r="Q278" s="27">
        <f t="shared" si="204"/>
        <v>-35679.980675675681</v>
      </c>
      <c r="R278" s="27">
        <f t="shared" si="205"/>
        <v>154750.60593834461</v>
      </c>
      <c r="S278" s="16">
        <f t="shared" si="206"/>
        <v>0.65</v>
      </c>
      <c r="T278" s="27">
        <f t="shared" ref="T278:T280" si="209">Q278*S278</f>
        <v>-23191.987439189194</v>
      </c>
      <c r="U278" s="27">
        <f t="shared" ref="U278:U280" si="210">R278*S278</f>
        <v>100587.89385992401</v>
      </c>
    </row>
    <row r="279" spans="2:21">
      <c r="B279" s="22">
        <v>0.85</v>
      </c>
      <c r="C279" s="26">
        <f t="shared" si="190"/>
        <v>134.78571428571431</v>
      </c>
      <c r="D279" s="29">
        <f t="shared" si="191"/>
        <v>0.95592705167173264</v>
      </c>
      <c r="E279" s="24">
        <f t="shared" si="192"/>
        <v>-2.2257551669316373E-5</v>
      </c>
      <c r="F279" s="17">
        <f t="shared" si="193"/>
        <v>1.3831478537360844E-4</v>
      </c>
      <c r="G279" s="25">
        <f t="shared" si="194"/>
        <v>-1.9554848966613715E-4</v>
      </c>
      <c r="H279" s="25">
        <f t="shared" si="195"/>
        <v>-6.4626391096979374E-4</v>
      </c>
      <c r="I279" s="25">
        <f t="shared" si="196"/>
        <v>-2.2154213036565981E-3</v>
      </c>
      <c r="J279" s="26">
        <f t="shared" si="197"/>
        <v>-5.6709062003179778</v>
      </c>
      <c r="K279" s="26">
        <f t="shared" si="198"/>
        <v>-18.74165341812402</v>
      </c>
      <c r="L279" s="26">
        <f t="shared" si="199"/>
        <v>-64.247217806041348</v>
      </c>
      <c r="M279" s="27">
        <f t="shared" si="200"/>
        <v>-526.7137678855338</v>
      </c>
      <c r="N279" s="27">
        <f t="shared" si="201"/>
        <v>-951.32632750397522</v>
      </c>
      <c r="O279" s="27">
        <f t="shared" si="202"/>
        <v>-3261.1887758346588</v>
      </c>
      <c r="P279" s="9">
        <f t="shared" si="203"/>
        <v>-33682.950000000004</v>
      </c>
      <c r="Q279" s="27">
        <f t="shared" si="204"/>
        <v>-38422.178871224169</v>
      </c>
      <c r="R279" s="27">
        <f t="shared" si="205"/>
        <v>154722.74630594195</v>
      </c>
      <c r="S279" s="16">
        <f t="shared" si="206"/>
        <v>0.65</v>
      </c>
      <c r="T279" s="27">
        <f t="shared" si="209"/>
        <v>-24974.41626629571</v>
      </c>
      <c r="U279" s="27">
        <f t="shared" si="210"/>
        <v>100569.78509886227</v>
      </c>
    </row>
    <row r="280" spans="2:21">
      <c r="B280" s="22">
        <v>0.9</v>
      </c>
      <c r="C280" s="26">
        <f t="shared" si="190"/>
        <v>142.71428571428572</v>
      </c>
      <c r="D280" s="29">
        <f t="shared" si="191"/>
        <v>1.0121580547112463</v>
      </c>
      <c r="E280" s="24">
        <f t="shared" si="192"/>
        <v>-2.1021021021021022E-5</v>
      </c>
      <c r="F280" s="17">
        <f t="shared" si="193"/>
        <v>-3.6036036036036207E-5</v>
      </c>
      <c r="G280" s="25">
        <f t="shared" si="194"/>
        <v>-3.5135135135135151E-4</v>
      </c>
      <c r="H280" s="25">
        <f t="shared" si="195"/>
        <v>-7.7702702702702722E-4</v>
      </c>
      <c r="I280" s="25">
        <f t="shared" si="196"/>
        <v>-2.2590090090090094E-3</v>
      </c>
      <c r="J280" s="26">
        <f t="shared" si="197"/>
        <v>-10.189189189189193</v>
      </c>
      <c r="K280" s="26">
        <f t="shared" si="198"/>
        <v>-22.53378378378379</v>
      </c>
      <c r="L280" s="26">
        <f t="shared" si="199"/>
        <v>-65.511261261261268</v>
      </c>
      <c r="M280" s="27">
        <f t="shared" si="200"/>
        <v>-946.37189189189223</v>
      </c>
      <c r="N280" s="27">
        <f t="shared" si="201"/>
        <v>-1143.8148648648651</v>
      </c>
      <c r="O280" s="27">
        <f t="shared" si="202"/>
        <v>-3325.3516216216217</v>
      </c>
      <c r="P280" s="9">
        <f t="shared" si="203"/>
        <v>-35664.300000000003</v>
      </c>
      <c r="Q280" s="27">
        <f t="shared" si="204"/>
        <v>-41079.838378378379</v>
      </c>
      <c r="R280" s="27">
        <f t="shared" si="205"/>
        <v>153881.43972297295</v>
      </c>
      <c r="S280" s="16">
        <f t="shared" si="206"/>
        <v>0.65</v>
      </c>
      <c r="T280" s="27">
        <f t="shared" si="209"/>
        <v>-26701.894945945947</v>
      </c>
      <c r="U280" s="27">
        <f t="shared" si="210"/>
        <v>100022.93581993242</v>
      </c>
    </row>
    <row r="282" spans="2:21">
      <c r="B282" s="11" t="s">
        <v>7</v>
      </c>
      <c r="D282" s="33">
        <v>1.4E-2</v>
      </c>
    </row>
    <row r="283" spans="2:21">
      <c r="B283" s="9" t="s">
        <v>8</v>
      </c>
      <c r="C283" s="9" t="s">
        <v>15</v>
      </c>
      <c r="D283" s="26">
        <f>D282*($D$11-2*$D$12)*$D$13</f>
        <v>108.36</v>
      </c>
    </row>
    <row r="284" spans="2:21">
      <c r="B284" s="9" t="s">
        <v>9</v>
      </c>
      <c r="C284" s="9" t="s">
        <v>15</v>
      </c>
      <c r="D284" s="26">
        <f>D282*$D$10/2*$D$12</f>
        <v>29.61</v>
      </c>
    </row>
    <row r="285" spans="2:21">
      <c r="B285" s="9" t="s">
        <v>10</v>
      </c>
      <c r="C285" s="9" t="s">
        <v>15</v>
      </c>
      <c r="D285" s="26">
        <f>D284</f>
        <v>29.61</v>
      </c>
    </row>
    <row r="287" spans="2:21">
      <c r="B287" s="18" t="s">
        <v>38</v>
      </c>
      <c r="C287" s="18" t="s">
        <v>37</v>
      </c>
      <c r="D287" s="18" t="s">
        <v>47</v>
      </c>
      <c r="E287" s="19" t="s">
        <v>19</v>
      </c>
      <c r="F287" s="19" t="s">
        <v>20</v>
      </c>
      <c r="G287" s="19" t="s">
        <v>21</v>
      </c>
      <c r="H287" s="19" t="s">
        <v>22</v>
      </c>
      <c r="I287" s="19" t="s">
        <v>23</v>
      </c>
      <c r="J287" s="19" t="s">
        <v>24</v>
      </c>
      <c r="K287" s="19" t="s">
        <v>25</v>
      </c>
      <c r="L287" s="19" t="s">
        <v>26</v>
      </c>
      <c r="M287" s="19" t="s">
        <v>27</v>
      </c>
      <c r="N287" s="19" t="s">
        <v>28</v>
      </c>
      <c r="O287" s="19" t="s">
        <v>29</v>
      </c>
      <c r="P287" s="19" t="s">
        <v>30</v>
      </c>
      <c r="Q287" s="19" t="s">
        <v>31</v>
      </c>
      <c r="R287" s="19" t="s">
        <v>32</v>
      </c>
      <c r="S287" s="19" t="s">
        <v>33</v>
      </c>
      <c r="T287" s="19"/>
      <c r="U287" s="19"/>
    </row>
    <row r="288" spans="2:21">
      <c r="B288" s="20"/>
      <c r="C288" s="21" t="s">
        <v>14</v>
      </c>
      <c r="D288" s="21"/>
      <c r="E288" s="21" t="s">
        <v>39</v>
      </c>
      <c r="F288" s="20"/>
      <c r="G288" s="20"/>
      <c r="H288" s="20"/>
      <c r="I288" s="20"/>
      <c r="J288" s="21" t="s">
        <v>13</v>
      </c>
      <c r="K288" s="21" t="s">
        <v>13</v>
      </c>
      <c r="L288" s="21" t="s">
        <v>13</v>
      </c>
      <c r="M288" s="21" t="s">
        <v>41</v>
      </c>
      <c r="N288" s="21" t="s">
        <v>41</v>
      </c>
      <c r="O288" s="21" t="s">
        <v>41</v>
      </c>
      <c r="P288" s="21" t="s">
        <v>41</v>
      </c>
      <c r="Q288" s="21" t="s">
        <v>41</v>
      </c>
      <c r="R288" s="21" t="s">
        <v>42</v>
      </c>
      <c r="S288" s="21"/>
      <c r="T288" s="21"/>
      <c r="U288" s="21"/>
    </row>
    <row r="289" spans="1:21">
      <c r="A289" s="15" t="s">
        <v>36</v>
      </c>
      <c r="B289" s="22"/>
      <c r="C289" s="23"/>
      <c r="D289" s="23"/>
      <c r="E289" s="24"/>
      <c r="F289" s="17"/>
      <c r="G289" s="25"/>
      <c r="H289" s="25"/>
      <c r="I289" s="25"/>
      <c r="J289" s="26"/>
      <c r="K289" s="26"/>
      <c r="L289" s="26"/>
      <c r="M289" s="27"/>
      <c r="N289" s="27"/>
      <c r="O289" s="27"/>
      <c r="P289" s="27"/>
      <c r="Q289" s="27"/>
      <c r="R289" s="27"/>
      <c r="S289" s="16"/>
      <c r="T289" s="27"/>
      <c r="U289" s="27"/>
    </row>
    <row r="290" spans="1:21">
      <c r="B290" s="22">
        <v>1.0000000000000001E-5</v>
      </c>
      <c r="C290" s="23">
        <f t="shared" ref="C290:C308" si="211">B290/$D$15*$D$13</f>
        <v>4.285714285714286E-4</v>
      </c>
      <c r="D290" s="29">
        <f>C290/$D$10</f>
        <v>3.0395136778115506E-6</v>
      </c>
      <c r="E290" s="24">
        <f t="shared" ref="E290:E308" si="212">-0.003/C290</f>
        <v>-7</v>
      </c>
      <c r="F290" s="17">
        <f t="shared" ref="F290:F308" si="213">E290*(C290-$D$10)</f>
        <v>986.99700000000007</v>
      </c>
      <c r="G290" s="25">
        <f t="shared" ref="G290:G308" si="214">E290*(C290-$D$20)</f>
        <v>104.997</v>
      </c>
      <c r="H290" s="25">
        <f t="shared" ref="H290:H308" si="215">E290*(C290-$D$21)</f>
        <v>246.74700000000001</v>
      </c>
      <c r="I290" s="25">
        <f t="shared" ref="I290:I308" si="216">E290*(C290-$D$22)</f>
        <v>740.24699999999996</v>
      </c>
      <c r="J290" s="26">
        <f t="shared" ref="J290:J308" si="217">SIGN(G290)*MIN($D$8*ABS(G290),$D$7)</f>
        <v>80</v>
      </c>
      <c r="K290" s="26">
        <f t="shared" ref="K290:K308" si="218">SIGN(H290)*MIN($D$8*ABS(H290),$D$7)</f>
        <v>80</v>
      </c>
      <c r="L290" s="26">
        <f t="shared" ref="L290:L308" si="219">SIGN(I290)*MIN($D$8*ABS(I290),$D$7)</f>
        <v>80</v>
      </c>
      <c r="M290" s="27">
        <f t="shared" ref="M290:M308" si="220">$D$283*J290</f>
        <v>8668.7999999999993</v>
      </c>
      <c r="N290" s="27">
        <f t="shared" ref="N290:N308" si="221">$D$284*K290*2</f>
        <v>4737.6000000000004</v>
      </c>
      <c r="O290" s="27">
        <f t="shared" ref="O290:O308" si="222">$D$285*L290*2</f>
        <v>4737.6000000000004</v>
      </c>
      <c r="P290" s="27">
        <f t="shared" ref="P290:P308" si="223">$D$15*C290*$D$11*(-0.85*$D$6)</f>
        <v>-0.56763000000000008</v>
      </c>
      <c r="Q290" s="27">
        <f>SUM(M290:P290)</f>
        <v>18143.432369999999</v>
      </c>
      <c r="R290" s="27">
        <f t="shared" ref="R290:R308" si="224">(P290*($D$18-$D$15*C290/2)+M290*($D$18-$D$20)+N290*($D$18-$D$21)+O290*($D$18-$D$22))/12</f>
        <v>-2.0805145296229361</v>
      </c>
      <c r="S290" s="16">
        <f t="shared" ref="S290:S308" si="225">MAX(0.65,MIN(0.9,0.65+(F290-0.002)*250/3))</f>
        <v>0.9</v>
      </c>
      <c r="T290" s="27">
        <f t="shared" ref="T290:T308" si="226">S290*Q290</f>
        <v>16329.089132999999</v>
      </c>
      <c r="U290" s="27">
        <f t="shared" ref="U290:U308" si="227">S290*R290</f>
        <v>-1.8724630766606425</v>
      </c>
    </row>
    <row r="291" spans="1:21">
      <c r="B291" s="22">
        <v>0.05</v>
      </c>
      <c r="C291" s="23">
        <f t="shared" si="211"/>
        <v>2.1428571428571432</v>
      </c>
      <c r="D291" s="29">
        <f t="shared" ref="D291:D307" si="228">C291/$D$10</f>
        <v>1.5197568389057753E-2</v>
      </c>
      <c r="E291" s="24">
        <f t="shared" si="212"/>
        <v>-1.3999999999999998E-3</v>
      </c>
      <c r="F291" s="17">
        <f t="shared" si="213"/>
        <v>0.19439999999999996</v>
      </c>
      <c r="G291" s="25">
        <f t="shared" si="214"/>
        <v>1.7999999999999999E-2</v>
      </c>
      <c r="H291" s="25">
        <f t="shared" si="215"/>
        <v>4.6349999999999988E-2</v>
      </c>
      <c r="I291" s="25">
        <f t="shared" si="216"/>
        <v>0.14504999999999998</v>
      </c>
      <c r="J291" s="26">
        <f t="shared" si="217"/>
        <v>80</v>
      </c>
      <c r="K291" s="26">
        <f t="shared" si="218"/>
        <v>80</v>
      </c>
      <c r="L291" s="26">
        <f t="shared" si="219"/>
        <v>80</v>
      </c>
      <c r="M291" s="27">
        <f t="shared" si="220"/>
        <v>8668.7999999999993</v>
      </c>
      <c r="N291" s="27">
        <f t="shared" si="221"/>
        <v>4737.6000000000004</v>
      </c>
      <c r="O291" s="27">
        <f t="shared" si="222"/>
        <v>4737.6000000000004</v>
      </c>
      <c r="P291" s="27">
        <f t="shared" si="223"/>
        <v>-2838.1500000000005</v>
      </c>
      <c r="Q291" s="27">
        <f t="shared" ref="Q291:Q308" si="229">SUM(M291:P291)</f>
        <v>15305.849999999999</v>
      </c>
      <c r="R291" s="27">
        <f t="shared" si="224"/>
        <v>-10225.223750000003</v>
      </c>
      <c r="S291" s="16">
        <f t="shared" si="225"/>
        <v>0.9</v>
      </c>
      <c r="T291" s="27">
        <f t="shared" si="226"/>
        <v>13775.264999999999</v>
      </c>
      <c r="U291" s="27">
        <f t="shared" si="227"/>
        <v>-9202.7013750000024</v>
      </c>
    </row>
    <row r="292" spans="1:21">
      <c r="B292" s="22">
        <v>0.1</v>
      </c>
      <c r="C292" s="23">
        <f t="shared" si="211"/>
        <v>4.2857142857142865</v>
      </c>
      <c r="D292" s="29">
        <f t="shared" si="228"/>
        <v>3.0395136778115506E-2</v>
      </c>
      <c r="E292" s="24">
        <f t="shared" si="212"/>
        <v>-6.9999999999999988E-4</v>
      </c>
      <c r="F292" s="17">
        <f t="shared" si="213"/>
        <v>9.5699999999999993E-2</v>
      </c>
      <c r="G292" s="25">
        <f t="shared" si="214"/>
        <v>7.499999999999998E-3</v>
      </c>
      <c r="H292" s="25">
        <f t="shared" si="215"/>
        <v>2.1674999999999996E-2</v>
      </c>
      <c r="I292" s="25">
        <f t="shared" si="216"/>
        <v>7.1024999999999991E-2</v>
      </c>
      <c r="J292" s="26">
        <f t="shared" si="217"/>
        <v>80</v>
      </c>
      <c r="K292" s="26">
        <f t="shared" si="218"/>
        <v>80</v>
      </c>
      <c r="L292" s="26">
        <f t="shared" si="219"/>
        <v>80</v>
      </c>
      <c r="M292" s="27">
        <f t="shared" si="220"/>
        <v>8668.7999999999993</v>
      </c>
      <c r="N292" s="27">
        <f t="shared" si="221"/>
        <v>4737.6000000000004</v>
      </c>
      <c r="O292" s="27">
        <f t="shared" si="222"/>
        <v>4737.6000000000004</v>
      </c>
      <c r="P292" s="27">
        <f t="shared" si="223"/>
        <v>-5676.3000000000011</v>
      </c>
      <c r="Q292" s="27">
        <f t="shared" si="229"/>
        <v>12467.699999999999</v>
      </c>
      <c r="R292" s="27">
        <f t="shared" si="224"/>
        <v>-20095.678750000003</v>
      </c>
      <c r="S292" s="16">
        <f t="shared" si="225"/>
        <v>0.9</v>
      </c>
      <c r="T292" s="27">
        <f t="shared" si="226"/>
        <v>11220.929999999998</v>
      </c>
      <c r="U292" s="27">
        <f t="shared" si="227"/>
        <v>-18086.110875000002</v>
      </c>
    </row>
    <row r="293" spans="1:21">
      <c r="B293" s="22">
        <v>0.15</v>
      </c>
      <c r="C293" s="23">
        <f t="shared" si="211"/>
        <v>6.4285714285714288</v>
      </c>
      <c r="D293" s="29">
        <f t="shared" si="228"/>
        <v>4.5592705167173252E-2</v>
      </c>
      <c r="E293" s="24">
        <f t="shared" si="212"/>
        <v>-4.6666666666666666E-4</v>
      </c>
      <c r="F293" s="17">
        <f t="shared" si="213"/>
        <v>6.2800000000000009E-2</v>
      </c>
      <c r="G293" s="25">
        <f t="shared" si="214"/>
        <v>4.0000000000000001E-3</v>
      </c>
      <c r="H293" s="25">
        <f t="shared" si="215"/>
        <v>1.3449999999999998E-2</v>
      </c>
      <c r="I293" s="25">
        <f t="shared" si="216"/>
        <v>4.6349999999999995E-2</v>
      </c>
      <c r="J293" s="26">
        <f t="shared" si="217"/>
        <v>80</v>
      </c>
      <c r="K293" s="26">
        <f t="shared" si="218"/>
        <v>80</v>
      </c>
      <c r="L293" s="26">
        <f t="shared" si="219"/>
        <v>80</v>
      </c>
      <c r="M293" s="27">
        <f t="shared" si="220"/>
        <v>8668.7999999999993</v>
      </c>
      <c r="N293" s="27">
        <f t="shared" si="221"/>
        <v>4737.6000000000004</v>
      </c>
      <c r="O293" s="27">
        <f t="shared" si="222"/>
        <v>4737.6000000000004</v>
      </c>
      <c r="P293" s="27">
        <f t="shared" si="223"/>
        <v>-8514.4500000000007</v>
      </c>
      <c r="Q293" s="27">
        <f t="shared" si="229"/>
        <v>9629.5499999999993</v>
      </c>
      <c r="R293" s="27">
        <f t="shared" si="224"/>
        <v>-29611.365000000005</v>
      </c>
      <c r="S293" s="16">
        <f t="shared" si="225"/>
        <v>0.9</v>
      </c>
      <c r="T293" s="27">
        <f t="shared" si="226"/>
        <v>8666.5949999999993</v>
      </c>
      <c r="U293" s="27">
        <f t="shared" si="227"/>
        <v>-26650.228500000005</v>
      </c>
    </row>
    <row r="294" spans="1:21">
      <c r="B294" s="22">
        <v>0.2</v>
      </c>
      <c r="C294" s="23">
        <f t="shared" si="211"/>
        <v>8.571428571428573</v>
      </c>
      <c r="D294" s="29">
        <f t="shared" si="228"/>
        <v>6.0790273556231011E-2</v>
      </c>
      <c r="E294" s="24">
        <f t="shared" si="212"/>
        <v>-3.4999999999999994E-4</v>
      </c>
      <c r="F294" s="17">
        <f t="shared" si="213"/>
        <v>4.6349999999999988E-2</v>
      </c>
      <c r="G294" s="25">
        <f t="shared" si="214"/>
        <v>2.249999999999999E-3</v>
      </c>
      <c r="H294" s="25">
        <f t="shared" si="215"/>
        <v>9.3374999999999986E-3</v>
      </c>
      <c r="I294" s="25">
        <f t="shared" si="216"/>
        <v>3.4012499999999994E-2</v>
      </c>
      <c r="J294" s="26">
        <f t="shared" si="217"/>
        <v>65.249999999999972</v>
      </c>
      <c r="K294" s="26">
        <f t="shared" si="218"/>
        <v>80</v>
      </c>
      <c r="L294" s="26">
        <f t="shared" si="219"/>
        <v>80</v>
      </c>
      <c r="M294" s="27">
        <f t="shared" si="220"/>
        <v>7070.4899999999971</v>
      </c>
      <c r="N294" s="27">
        <f t="shared" si="221"/>
        <v>4737.6000000000004</v>
      </c>
      <c r="O294" s="27">
        <f t="shared" si="222"/>
        <v>4737.6000000000004</v>
      </c>
      <c r="P294" s="27">
        <f t="shared" si="223"/>
        <v>-11352.600000000002</v>
      </c>
      <c r="Q294" s="27">
        <f t="shared" si="229"/>
        <v>5193.0899999999929</v>
      </c>
      <c r="R294" s="27">
        <f t="shared" si="224"/>
        <v>-42632.64512500001</v>
      </c>
      <c r="S294" s="16">
        <f t="shared" si="225"/>
        <v>0.9</v>
      </c>
      <c r="T294" s="27">
        <f t="shared" si="226"/>
        <v>4673.7809999999936</v>
      </c>
      <c r="U294" s="27">
        <f t="shared" si="227"/>
        <v>-38369.380612500012</v>
      </c>
    </row>
    <row r="295" spans="1:21">
      <c r="B295" s="22">
        <v>0.25</v>
      </c>
      <c r="C295" s="23">
        <f t="shared" si="211"/>
        <v>10.714285714285715</v>
      </c>
      <c r="D295" s="29">
        <f t="shared" si="228"/>
        <v>7.5987841945288764E-2</v>
      </c>
      <c r="E295" s="24">
        <f t="shared" si="212"/>
        <v>-2.7999999999999998E-4</v>
      </c>
      <c r="F295" s="17">
        <f t="shared" si="213"/>
        <v>3.6479999999999992E-2</v>
      </c>
      <c r="G295" s="25">
        <f t="shared" si="214"/>
        <v>1.1999999999999997E-3</v>
      </c>
      <c r="H295" s="25">
        <f t="shared" si="215"/>
        <v>6.8699999999999994E-3</v>
      </c>
      <c r="I295" s="25">
        <f t="shared" si="216"/>
        <v>2.6609999999999995E-2</v>
      </c>
      <c r="J295" s="26">
        <f t="shared" si="217"/>
        <v>34.79999999999999</v>
      </c>
      <c r="K295" s="26">
        <f t="shared" si="218"/>
        <v>80</v>
      </c>
      <c r="L295" s="26">
        <f t="shared" si="219"/>
        <v>80</v>
      </c>
      <c r="M295" s="27">
        <f t="shared" si="220"/>
        <v>3770.927999999999</v>
      </c>
      <c r="N295" s="27">
        <f t="shared" si="221"/>
        <v>4737.6000000000004</v>
      </c>
      <c r="O295" s="27">
        <f t="shared" si="222"/>
        <v>4737.6000000000004</v>
      </c>
      <c r="P295" s="27">
        <f t="shared" si="223"/>
        <v>-14190.75</v>
      </c>
      <c r="Q295" s="27">
        <f t="shared" si="229"/>
        <v>-944.62200000000121</v>
      </c>
      <c r="R295" s="27">
        <f t="shared" si="224"/>
        <v>-59408.152650000004</v>
      </c>
      <c r="S295" s="16">
        <f t="shared" si="225"/>
        <v>0.9</v>
      </c>
      <c r="T295" s="27">
        <f t="shared" si="226"/>
        <v>-850.15980000000116</v>
      </c>
      <c r="U295" s="27">
        <f t="shared" si="227"/>
        <v>-53467.337385000006</v>
      </c>
    </row>
    <row r="296" spans="1:21">
      <c r="B296" s="22">
        <v>0.3</v>
      </c>
      <c r="C296" s="23">
        <f t="shared" si="211"/>
        <v>12.857142857142858</v>
      </c>
      <c r="D296" s="29">
        <f t="shared" si="228"/>
        <v>9.1185410334346503E-2</v>
      </c>
      <c r="E296" s="24">
        <f t="shared" si="212"/>
        <v>-2.3333333333333333E-4</v>
      </c>
      <c r="F296" s="17">
        <f t="shared" si="213"/>
        <v>2.9899999999999999E-2</v>
      </c>
      <c r="G296" s="25">
        <f t="shared" si="214"/>
        <v>4.999999999999999E-4</v>
      </c>
      <c r="H296" s="25">
        <f t="shared" si="215"/>
        <v>5.2249999999999996E-3</v>
      </c>
      <c r="I296" s="25">
        <f t="shared" si="216"/>
        <v>2.1675E-2</v>
      </c>
      <c r="J296" s="26">
        <f t="shared" si="217"/>
        <v>14.499999999999996</v>
      </c>
      <c r="K296" s="26">
        <f t="shared" si="218"/>
        <v>80</v>
      </c>
      <c r="L296" s="26">
        <f t="shared" si="219"/>
        <v>80</v>
      </c>
      <c r="M296" s="27">
        <f t="shared" si="220"/>
        <v>1571.2199999999996</v>
      </c>
      <c r="N296" s="27">
        <f t="shared" si="221"/>
        <v>4737.6000000000004</v>
      </c>
      <c r="O296" s="27">
        <f t="shared" si="222"/>
        <v>4737.6000000000004</v>
      </c>
      <c r="P296" s="27">
        <f t="shared" si="223"/>
        <v>-17028.900000000001</v>
      </c>
      <c r="Q296" s="27">
        <f t="shared" si="229"/>
        <v>-5982.4800000000014</v>
      </c>
      <c r="R296" s="27">
        <f t="shared" si="224"/>
        <v>-73172.438500000004</v>
      </c>
      <c r="S296" s="16">
        <f t="shared" si="225"/>
        <v>0.9</v>
      </c>
      <c r="T296" s="27">
        <f t="shared" si="226"/>
        <v>-5384.2320000000018</v>
      </c>
      <c r="U296" s="27">
        <f t="shared" si="227"/>
        <v>-65855.194650000005</v>
      </c>
    </row>
    <row r="297" spans="1:21">
      <c r="B297" s="22">
        <v>0.35</v>
      </c>
      <c r="C297" s="23">
        <f t="shared" si="211"/>
        <v>15</v>
      </c>
      <c r="D297" s="29">
        <f t="shared" si="228"/>
        <v>0.10638297872340426</v>
      </c>
      <c r="E297" s="24">
        <f t="shared" si="212"/>
        <v>-2.0000000000000001E-4</v>
      </c>
      <c r="F297" s="17">
        <f t="shared" si="213"/>
        <v>2.52E-2</v>
      </c>
      <c r="G297" s="25">
        <f t="shared" si="214"/>
        <v>0</v>
      </c>
      <c r="H297" s="25">
        <f t="shared" si="215"/>
        <v>4.0499999999999998E-3</v>
      </c>
      <c r="I297" s="25">
        <f t="shared" si="216"/>
        <v>1.8149999999999999E-2</v>
      </c>
      <c r="J297" s="26">
        <f t="shared" si="217"/>
        <v>0</v>
      </c>
      <c r="K297" s="26">
        <f t="shared" si="218"/>
        <v>80</v>
      </c>
      <c r="L297" s="26">
        <f t="shared" si="219"/>
        <v>80</v>
      </c>
      <c r="M297" s="27">
        <f t="shared" si="220"/>
        <v>0</v>
      </c>
      <c r="N297" s="27">
        <f t="shared" si="221"/>
        <v>4737.6000000000004</v>
      </c>
      <c r="O297" s="27">
        <f t="shared" si="222"/>
        <v>4737.6000000000004</v>
      </c>
      <c r="P297" s="27">
        <f t="shared" si="223"/>
        <v>-19867.05</v>
      </c>
      <c r="Q297" s="27">
        <f t="shared" si="229"/>
        <v>-10391.849999999999</v>
      </c>
      <c r="R297" s="27">
        <f t="shared" si="224"/>
        <v>-85063.982499999998</v>
      </c>
      <c r="S297" s="16">
        <f t="shared" si="225"/>
        <v>0.9</v>
      </c>
      <c r="T297" s="27">
        <f t="shared" si="226"/>
        <v>-9352.6649999999991</v>
      </c>
      <c r="U297" s="27">
        <f t="shared" si="227"/>
        <v>-76557.58425</v>
      </c>
    </row>
    <row r="298" spans="1:21">
      <c r="B298" s="22">
        <v>0.4</v>
      </c>
      <c r="C298" s="23">
        <f t="shared" si="211"/>
        <v>17.142857142857146</v>
      </c>
      <c r="D298" s="29">
        <f t="shared" si="228"/>
        <v>0.12158054711246202</v>
      </c>
      <c r="E298" s="24">
        <f t="shared" si="212"/>
        <v>-1.7499999999999997E-4</v>
      </c>
      <c r="F298" s="17">
        <f t="shared" si="213"/>
        <v>2.1674999999999996E-2</v>
      </c>
      <c r="G298" s="25">
        <f t="shared" si="214"/>
        <v>-3.750000000000005E-4</v>
      </c>
      <c r="H298" s="25">
        <f t="shared" si="215"/>
        <v>3.1687499999999988E-3</v>
      </c>
      <c r="I298" s="25">
        <f t="shared" si="216"/>
        <v>1.5506249999999997E-2</v>
      </c>
      <c r="J298" s="26">
        <f t="shared" si="217"/>
        <v>-10.875000000000014</v>
      </c>
      <c r="K298" s="26">
        <f t="shared" si="218"/>
        <v>80</v>
      </c>
      <c r="L298" s="26">
        <f t="shared" si="219"/>
        <v>80</v>
      </c>
      <c r="M298" s="27">
        <f t="shared" si="220"/>
        <v>-1178.4150000000016</v>
      </c>
      <c r="N298" s="27">
        <f t="shared" si="221"/>
        <v>4737.6000000000004</v>
      </c>
      <c r="O298" s="27">
        <f t="shared" si="222"/>
        <v>4737.6000000000004</v>
      </c>
      <c r="P298" s="27">
        <f t="shared" si="223"/>
        <v>-22705.200000000004</v>
      </c>
      <c r="Q298" s="27">
        <f t="shared" si="229"/>
        <v>-14408.415000000005</v>
      </c>
      <c r="R298" s="27">
        <f t="shared" si="224"/>
        <v>-95652.024562500024</v>
      </c>
      <c r="S298" s="16">
        <f t="shared" si="225"/>
        <v>0.9</v>
      </c>
      <c r="T298" s="27">
        <f t="shared" si="226"/>
        <v>-12967.573500000004</v>
      </c>
      <c r="U298" s="27">
        <f t="shared" si="227"/>
        <v>-86086.822106250023</v>
      </c>
    </row>
    <row r="299" spans="1:21">
      <c r="B299" s="22">
        <v>0.45</v>
      </c>
      <c r="C299" s="23">
        <f t="shared" si="211"/>
        <v>19.285714285714288</v>
      </c>
      <c r="D299" s="29">
        <f t="shared" si="228"/>
        <v>0.13677811550151978</v>
      </c>
      <c r="E299" s="24">
        <f t="shared" si="212"/>
        <v>-1.5555555555555554E-4</v>
      </c>
      <c r="F299" s="17">
        <f t="shared" si="213"/>
        <v>1.893333333333333E-2</v>
      </c>
      <c r="G299" s="25">
        <f t="shared" si="214"/>
        <v>-6.6666666666666697E-4</v>
      </c>
      <c r="H299" s="25">
        <f t="shared" si="215"/>
        <v>2.4833333333333326E-3</v>
      </c>
      <c r="I299" s="25">
        <f t="shared" si="216"/>
        <v>1.3449999999999997E-2</v>
      </c>
      <c r="J299" s="26">
        <f t="shared" si="217"/>
        <v>-19.333333333333343</v>
      </c>
      <c r="K299" s="26">
        <f t="shared" si="218"/>
        <v>72.016666666666652</v>
      </c>
      <c r="L299" s="26">
        <f t="shared" si="219"/>
        <v>80</v>
      </c>
      <c r="M299" s="27">
        <f t="shared" si="220"/>
        <v>-2094.9600000000009</v>
      </c>
      <c r="N299" s="27">
        <f t="shared" si="221"/>
        <v>4264.8269999999993</v>
      </c>
      <c r="O299" s="27">
        <f t="shared" si="222"/>
        <v>4737.6000000000004</v>
      </c>
      <c r="P299" s="27">
        <f t="shared" si="223"/>
        <v>-25543.350000000006</v>
      </c>
      <c r="Q299" s="27">
        <f t="shared" si="229"/>
        <v>-18635.883000000009</v>
      </c>
      <c r="R299" s="27">
        <f t="shared" si="224"/>
        <v>-105596.88276666671</v>
      </c>
      <c r="S299" s="16">
        <f t="shared" si="225"/>
        <v>0.9</v>
      </c>
      <c r="T299" s="27">
        <f t="shared" si="226"/>
        <v>-16772.294700000009</v>
      </c>
      <c r="U299" s="27">
        <f t="shared" si="227"/>
        <v>-95037.194490000038</v>
      </c>
    </row>
    <row r="300" spans="1:21">
      <c r="B300" s="22">
        <v>0.5</v>
      </c>
      <c r="C300" s="23">
        <f t="shared" si="211"/>
        <v>21.428571428571431</v>
      </c>
      <c r="D300" s="29">
        <f t="shared" si="228"/>
        <v>0.15197568389057753</v>
      </c>
      <c r="E300" s="24">
        <f t="shared" si="212"/>
        <v>-1.3999999999999999E-4</v>
      </c>
      <c r="F300" s="17">
        <f t="shared" si="213"/>
        <v>1.6739999999999998E-2</v>
      </c>
      <c r="G300" s="25">
        <f t="shared" si="214"/>
        <v>-9.0000000000000019E-4</v>
      </c>
      <c r="H300" s="25">
        <f t="shared" si="215"/>
        <v>1.9349999999999997E-3</v>
      </c>
      <c r="I300" s="25">
        <f t="shared" si="216"/>
        <v>1.1805E-2</v>
      </c>
      <c r="J300" s="26">
        <f t="shared" si="217"/>
        <v>-26.100000000000005</v>
      </c>
      <c r="K300" s="26">
        <f t="shared" si="218"/>
        <v>56.114999999999988</v>
      </c>
      <c r="L300" s="26">
        <f t="shared" si="219"/>
        <v>80</v>
      </c>
      <c r="M300" s="27">
        <f t="shared" si="220"/>
        <v>-2828.1960000000004</v>
      </c>
      <c r="N300" s="27">
        <f t="shared" si="221"/>
        <v>3323.1302999999994</v>
      </c>
      <c r="O300" s="27">
        <f t="shared" si="222"/>
        <v>4737.6000000000004</v>
      </c>
      <c r="P300" s="27">
        <f t="shared" si="223"/>
        <v>-28381.5</v>
      </c>
      <c r="Q300" s="27">
        <f t="shared" si="229"/>
        <v>-23148.965700000001</v>
      </c>
      <c r="R300" s="27">
        <f t="shared" si="224"/>
        <v>-115085.50231499999</v>
      </c>
      <c r="S300" s="16">
        <f t="shared" si="225"/>
        <v>0.9</v>
      </c>
      <c r="T300" s="27">
        <f t="shared" si="226"/>
        <v>-20834.06913</v>
      </c>
      <c r="U300" s="27">
        <f t="shared" si="227"/>
        <v>-103576.9520835</v>
      </c>
    </row>
    <row r="301" spans="1:21">
      <c r="B301" s="22">
        <v>0.55000000000000004</v>
      </c>
      <c r="C301" s="23">
        <f t="shared" si="211"/>
        <v>23.571428571428573</v>
      </c>
      <c r="D301" s="29">
        <f t="shared" si="228"/>
        <v>0.16717325227963528</v>
      </c>
      <c r="E301" s="24">
        <f t="shared" si="212"/>
        <v>-1.2727272727272725E-4</v>
      </c>
      <c r="F301" s="17">
        <f t="shared" si="213"/>
        <v>1.4945454545454543E-2</v>
      </c>
      <c r="G301" s="25">
        <f t="shared" si="214"/>
        <v>-1.090909090909091E-3</v>
      </c>
      <c r="H301" s="25">
        <f t="shared" si="215"/>
        <v>1.4863636363636359E-3</v>
      </c>
      <c r="I301" s="25">
        <f t="shared" si="216"/>
        <v>1.0459090909090907E-2</v>
      </c>
      <c r="J301" s="26">
        <f t="shared" si="217"/>
        <v>-31.636363636363637</v>
      </c>
      <c r="K301" s="26">
        <f t="shared" si="218"/>
        <v>43.104545454545445</v>
      </c>
      <c r="L301" s="26">
        <f t="shared" si="219"/>
        <v>80</v>
      </c>
      <c r="M301" s="27">
        <f t="shared" si="220"/>
        <v>-3428.1163636363635</v>
      </c>
      <c r="N301" s="27">
        <f t="shared" si="221"/>
        <v>2552.6511818181812</v>
      </c>
      <c r="O301" s="27">
        <f t="shared" si="222"/>
        <v>4737.6000000000004</v>
      </c>
      <c r="P301" s="27">
        <f t="shared" si="223"/>
        <v>-31219.65</v>
      </c>
      <c r="Q301" s="27">
        <f t="shared" si="229"/>
        <v>-27357.515181818184</v>
      </c>
      <c r="R301" s="27">
        <f t="shared" si="224"/>
        <v>-123772.75046818181</v>
      </c>
      <c r="S301" s="16">
        <f t="shared" si="225"/>
        <v>0.9</v>
      </c>
      <c r="T301" s="27">
        <f t="shared" si="226"/>
        <v>-24621.763663636368</v>
      </c>
      <c r="U301" s="27">
        <f t="shared" si="227"/>
        <v>-111395.47542136363</v>
      </c>
    </row>
    <row r="302" spans="1:21">
      <c r="B302" s="22">
        <v>0.6</v>
      </c>
      <c r="C302" s="23">
        <f t="shared" si="211"/>
        <v>25.714285714285715</v>
      </c>
      <c r="D302" s="29">
        <f t="shared" si="228"/>
        <v>0.18237082066869301</v>
      </c>
      <c r="E302" s="24">
        <f t="shared" si="212"/>
        <v>-1.1666666666666667E-4</v>
      </c>
      <c r="F302" s="17">
        <f t="shared" si="213"/>
        <v>1.3449999999999998E-2</v>
      </c>
      <c r="G302" s="25">
        <f t="shared" si="214"/>
        <v>-1.25E-3</v>
      </c>
      <c r="H302" s="25">
        <f t="shared" si="215"/>
        <v>1.1124999999999998E-3</v>
      </c>
      <c r="I302" s="25">
        <f t="shared" si="216"/>
        <v>9.3374999999999986E-3</v>
      </c>
      <c r="J302" s="26">
        <f t="shared" si="217"/>
        <v>-36.25</v>
      </c>
      <c r="K302" s="26">
        <f t="shared" si="218"/>
        <v>32.262499999999996</v>
      </c>
      <c r="L302" s="26">
        <f t="shared" si="219"/>
        <v>80</v>
      </c>
      <c r="M302" s="27">
        <f t="shared" si="220"/>
        <v>-3928.05</v>
      </c>
      <c r="N302" s="27">
        <f t="shared" si="221"/>
        <v>1910.5852499999996</v>
      </c>
      <c r="O302" s="27">
        <f t="shared" si="222"/>
        <v>4737.6000000000004</v>
      </c>
      <c r="P302" s="27">
        <f t="shared" si="223"/>
        <v>-34057.800000000003</v>
      </c>
      <c r="Q302" s="27">
        <f t="shared" si="229"/>
        <v>-31337.664750000004</v>
      </c>
      <c r="R302" s="27">
        <f t="shared" si="224"/>
        <v>-131770.27788750001</v>
      </c>
      <c r="S302" s="16">
        <f t="shared" si="225"/>
        <v>0.9</v>
      </c>
      <c r="T302" s="27">
        <f t="shared" si="226"/>
        <v>-28203.898275000003</v>
      </c>
      <c r="U302" s="27">
        <f t="shared" si="227"/>
        <v>-118593.25009875001</v>
      </c>
    </row>
    <row r="303" spans="1:21">
      <c r="B303" s="22">
        <v>0.65</v>
      </c>
      <c r="C303" s="23">
        <f t="shared" si="211"/>
        <v>27.857142857142861</v>
      </c>
      <c r="D303" s="29">
        <f t="shared" si="228"/>
        <v>0.19756838905775079</v>
      </c>
      <c r="E303" s="24">
        <f t="shared" si="212"/>
        <v>-1.0769230769230768E-4</v>
      </c>
      <c r="F303" s="17">
        <f t="shared" si="213"/>
        <v>1.2184615384615382E-2</v>
      </c>
      <c r="G303" s="25">
        <f t="shared" si="214"/>
        <v>-1.384615384615385E-3</v>
      </c>
      <c r="H303" s="25">
        <f t="shared" si="215"/>
        <v>7.9615384615384563E-4</v>
      </c>
      <c r="I303" s="25">
        <f t="shared" si="216"/>
        <v>8.3884615384615373E-3</v>
      </c>
      <c r="J303" s="26">
        <f t="shared" si="217"/>
        <v>-40.15384615384616</v>
      </c>
      <c r="K303" s="26">
        <f t="shared" si="218"/>
        <v>23.088461538461523</v>
      </c>
      <c r="L303" s="26">
        <f t="shared" si="219"/>
        <v>80</v>
      </c>
      <c r="M303" s="27">
        <f t="shared" si="220"/>
        <v>-4351.0707692307697</v>
      </c>
      <c r="N303" s="27">
        <f t="shared" si="221"/>
        <v>1367.2986923076915</v>
      </c>
      <c r="O303" s="27">
        <f t="shared" si="222"/>
        <v>4737.6000000000004</v>
      </c>
      <c r="P303" s="27">
        <f t="shared" si="223"/>
        <v>-36895.950000000004</v>
      </c>
      <c r="Q303" s="27">
        <f t="shared" si="229"/>
        <v>-35142.122076923086</v>
      </c>
      <c r="R303" s="27">
        <f t="shared" si="224"/>
        <v>-139155.3811846154</v>
      </c>
      <c r="S303" s="16">
        <f t="shared" si="225"/>
        <v>0.9</v>
      </c>
      <c r="T303" s="27">
        <f t="shared" si="226"/>
        <v>-31627.909869230778</v>
      </c>
      <c r="U303" s="27">
        <f t="shared" si="227"/>
        <v>-125239.84306615386</v>
      </c>
    </row>
    <row r="304" spans="1:21">
      <c r="B304" s="22">
        <v>0.7</v>
      </c>
      <c r="C304" s="23">
        <f t="shared" si="211"/>
        <v>30</v>
      </c>
      <c r="D304" s="29">
        <f t="shared" si="228"/>
        <v>0.21276595744680851</v>
      </c>
      <c r="E304" s="24">
        <f t="shared" si="212"/>
        <v>-1E-4</v>
      </c>
      <c r="F304" s="17">
        <f t="shared" si="213"/>
        <v>1.11E-2</v>
      </c>
      <c r="G304" s="25">
        <f t="shared" si="214"/>
        <v>-1.5E-3</v>
      </c>
      <c r="H304" s="25">
        <f t="shared" si="215"/>
        <v>5.2500000000000008E-4</v>
      </c>
      <c r="I304" s="25">
        <f t="shared" si="216"/>
        <v>7.5750000000000001E-3</v>
      </c>
      <c r="J304" s="26">
        <f t="shared" si="217"/>
        <v>-43.5</v>
      </c>
      <c r="K304" s="26">
        <f t="shared" si="218"/>
        <v>15.225000000000001</v>
      </c>
      <c r="L304" s="26">
        <f t="shared" si="219"/>
        <v>80</v>
      </c>
      <c r="M304" s="27">
        <f t="shared" si="220"/>
        <v>-4713.66</v>
      </c>
      <c r="N304" s="27">
        <f t="shared" si="221"/>
        <v>901.62450000000001</v>
      </c>
      <c r="O304" s="27">
        <f t="shared" si="222"/>
        <v>4737.6000000000004</v>
      </c>
      <c r="P304" s="27">
        <f t="shared" si="223"/>
        <v>-39734.1</v>
      </c>
      <c r="Q304" s="27">
        <f t="shared" si="229"/>
        <v>-38808.535499999998</v>
      </c>
      <c r="R304" s="27">
        <f t="shared" si="224"/>
        <v>-145983.27222499999</v>
      </c>
      <c r="S304" s="16">
        <f t="shared" si="225"/>
        <v>0.9</v>
      </c>
      <c r="T304" s="27">
        <f t="shared" si="226"/>
        <v>-34927.681949999998</v>
      </c>
      <c r="U304" s="27">
        <f t="shared" si="227"/>
        <v>-131384.9450025</v>
      </c>
    </row>
    <row r="305" spans="1:21">
      <c r="B305" s="22">
        <v>0.75</v>
      </c>
      <c r="C305" s="23">
        <f t="shared" si="211"/>
        <v>32.142857142857139</v>
      </c>
      <c r="D305" s="29">
        <f t="shared" si="228"/>
        <v>0.22796352583586624</v>
      </c>
      <c r="E305" s="24">
        <f t="shared" si="212"/>
        <v>-9.3333333333333343E-5</v>
      </c>
      <c r="F305" s="17">
        <f t="shared" si="213"/>
        <v>1.0160000000000001E-2</v>
      </c>
      <c r="G305" s="25">
        <f t="shared" si="214"/>
        <v>-1.5999999999999999E-3</v>
      </c>
      <c r="H305" s="25">
        <f t="shared" si="215"/>
        <v>2.9000000000000044E-4</v>
      </c>
      <c r="I305" s="25">
        <f t="shared" si="216"/>
        <v>6.8700000000000011E-3</v>
      </c>
      <c r="J305" s="26">
        <f t="shared" si="217"/>
        <v>-46.4</v>
      </c>
      <c r="K305" s="26">
        <f t="shared" si="218"/>
        <v>8.4100000000000126</v>
      </c>
      <c r="L305" s="26">
        <f t="shared" si="219"/>
        <v>80</v>
      </c>
      <c r="M305" s="27">
        <f t="shared" si="220"/>
        <v>-5027.9039999999995</v>
      </c>
      <c r="N305" s="27">
        <f t="shared" si="221"/>
        <v>498.04020000000071</v>
      </c>
      <c r="O305" s="27">
        <f t="shared" si="222"/>
        <v>4737.6000000000004</v>
      </c>
      <c r="P305" s="27">
        <f t="shared" si="223"/>
        <v>-42572.249999999993</v>
      </c>
      <c r="Q305" s="27">
        <f t="shared" si="229"/>
        <v>-42364.513799999993</v>
      </c>
      <c r="R305" s="27">
        <f t="shared" si="224"/>
        <v>-152294.43970999998</v>
      </c>
      <c r="S305" s="16">
        <f t="shared" si="225"/>
        <v>0.9</v>
      </c>
      <c r="T305" s="27">
        <f t="shared" si="226"/>
        <v>-38128.062419999995</v>
      </c>
      <c r="U305" s="27">
        <f t="shared" si="227"/>
        <v>-137064.99573899998</v>
      </c>
    </row>
    <row r="306" spans="1:21">
      <c r="B306" s="22">
        <v>0.8</v>
      </c>
      <c r="C306" s="23">
        <f t="shared" si="211"/>
        <v>34.285714285714292</v>
      </c>
      <c r="D306" s="29">
        <f t="shared" si="228"/>
        <v>0.24316109422492405</v>
      </c>
      <c r="E306" s="24">
        <f t="shared" si="212"/>
        <v>-8.7499999999999986E-5</v>
      </c>
      <c r="F306" s="17">
        <f t="shared" si="213"/>
        <v>9.3374999999999986E-3</v>
      </c>
      <c r="G306" s="25">
        <f t="shared" si="214"/>
        <v>-1.6875000000000002E-3</v>
      </c>
      <c r="H306" s="25">
        <f t="shared" si="215"/>
        <v>8.4374999999999449E-5</v>
      </c>
      <c r="I306" s="25">
        <f t="shared" si="216"/>
        <v>6.2531249999999983E-3</v>
      </c>
      <c r="J306" s="26">
        <f t="shared" si="217"/>
        <v>-48.937500000000007</v>
      </c>
      <c r="K306" s="26">
        <f t="shared" si="218"/>
        <v>2.4468749999999839</v>
      </c>
      <c r="L306" s="26">
        <f t="shared" si="219"/>
        <v>80</v>
      </c>
      <c r="M306" s="27">
        <f t="shared" si="220"/>
        <v>-5302.8675000000003</v>
      </c>
      <c r="N306" s="27">
        <f t="shared" si="221"/>
        <v>144.90393749999905</v>
      </c>
      <c r="O306" s="27">
        <f t="shared" si="222"/>
        <v>4737.6000000000004</v>
      </c>
      <c r="P306" s="27">
        <f t="shared" si="223"/>
        <v>-45410.400000000009</v>
      </c>
      <c r="Q306" s="27">
        <f t="shared" si="229"/>
        <v>-45830.763562500011</v>
      </c>
      <c r="R306" s="27">
        <f t="shared" si="224"/>
        <v>-158119.25016562504</v>
      </c>
      <c r="S306" s="16">
        <f t="shared" si="225"/>
        <v>0.9</v>
      </c>
      <c r="T306" s="27">
        <f t="shared" si="226"/>
        <v>-41247.687206250012</v>
      </c>
      <c r="U306" s="27">
        <f t="shared" si="227"/>
        <v>-142307.32514906253</v>
      </c>
    </row>
    <row r="307" spans="1:21">
      <c r="B307" s="22">
        <v>0.85</v>
      </c>
      <c r="C307" s="23">
        <f t="shared" si="211"/>
        <v>36.428571428571431</v>
      </c>
      <c r="D307" s="29">
        <f t="shared" si="228"/>
        <v>0.25835866261398177</v>
      </c>
      <c r="E307" s="24">
        <f t="shared" si="212"/>
        <v>-8.2352941176470581E-5</v>
      </c>
      <c r="F307" s="17">
        <f t="shared" si="213"/>
        <v>8.6117647058823518E-3</v>
      </c>
      <c r="G307" s="25">
        <f t="shared" si="214"/>
        <v>-1.7647058823529412E-3</v>
      </c>
      <c r="H307" s="25">
        <f t="shared" si="215"/>
        <v>-9.7058823529411919E-5</v>
      </c>
      <c r="I307" s="25">
        <f t="shared" si="216"/>
        <v>5.7088235294117644E-3</v>
      </c>
      <c r="J307" s="26">
        <f t="shared" si="217"/>
        <v>-51.176470588235297</v>
      </c>
      <c r="K307" s="26">
        <f t="shared" si="218"/>
        <v>-2.8147058823529458</v>
      </c>
      <c r="L307" s="26">
        <f t="shared" si="219"/>
        <v>80</v>
      </c>
      <c r="M307" s="27">
        <f t="shared" si="220"/>
        <v>-5545.4823529411769</v>
      </c>
      <c r="N307" s="27">
        <f t="shared" si="221"/>
        <v>-166.68688235294144</v>
      </c>
      <c r="O307" s="27">
        <f t="shared" si="222"/>
        <v>4737.6000000000004</v>
      </c>
      <c r="P307" s="27">
        <f t="shared" si="223"/>
        <v>-48248.55</v>
      </c>
      <c r="Q307" s="27">
        <f t="shared" si="229"/>
        <v>-49223.119235294122</v>
      </c>
      <c r="R307" s="27">
        <f t="shared" si="224"/>
        <v>-163480.92505294119</v>
      </c>
      <c r="S307" s="16">
        <f t="shared" si="225"/>
        <v>0.9</v>
      </c>
      <c r="T307" s="27">
        <f t="shared" si="226"/>
        <v>-44300.807311764707</v>
      </c>
      <c r="U307" s="27">
        <f t="shared" si="227"/>
        <v>-147132.83254764709</v>
      </c>
    </row>
    <row r="308" spans="1:21">
      <c r="B308" s="22">
        <v>0.9</v>
      </c>
      <c r="C308" s="23">
        <f t="shared" si="211"/>
        <v>38.571428571428577</v>
      </c>
      <c r="D308" s="29">
        <f>C308/$D$10</f>
        <v>0.27355623100303955</v>
      </c>
      <c r="E308" s="24">
        <f t="shared" si="212"/>
        <v>-7.7777777777777768E-5</v>
      </c>
      <c r="F308" s="17">
        <f t="shared" si="213"/>
        <v>7.9666666666666653E-3</v>
      </c>
      <c r="G308" s="25">
        <f t="shared" si="214"/>
        <v>-1.8333333333333335E-3</v>
      </c>
      <c r="H308" s="25">
        <f t="shared" si="215"/>
        <v>-2.5833333333333372E-4</v>
      </c>
      <c r="I308" s="25">
        <f t="shared" si="216"/>
        <v>5.2249999999999987E-3</v>
      </c>
      <c r="J308" s="26">
        <f t="shared" si="217"/>
        <v>-53.166666666666671</v>
      </c>
      <c r="K308" s="26">
        <f t="shared" si="218"/>
        <v>-7.4916666666666778</v>
      </c>
      <c r="L308" s="26">
        <f t="shared" si="219"/>
        <v>80</v>
      </c>
      <c r="M308" s="27">
        <f t="shared" si="220"/>
        <v>-5761.14</v>
      </c>
      <c r="N308" s="27">
        <f t="shared" si="221"/>
        <v>-443.65650000000068</v>
      </c>
      <c r="O308" s="27">
        <f t="shared" si="222"/>
        <v>4737.6000000000004</v>
      </c>
      <c r="P308" s="27">
        <f t="shared" si="223"/>
        <v>-51086.700000000012</v>
      </c>
      <c r="Q308" s="27">
        <f t="shared" si="229"/>
        <v>-52553.89650000001</v>
      </c>
      <c r="R308" s="27">
        <f t="shared" si="224"/>
        <v>-168397.52550833338</v>
      </c>
      <c r="S308" s="16">
        <f t="shared" si="225"/>
        <v>0.9</v>
      </c>
      <c r="T308" s="27">
        <f t="shared" si="226"/>
        <v>-47298.506850000012</v>
      </c>
      <c r="U308" s="27">
        <f t="shared" si="227"/>
        <v>-151557.77295750004</v>
      </c>
    </row>
    <row r="310" spans="1:21">
      <c r="B310" s="18" t="s">
        <v>43</v>
      </c>
      <c r="C310" s="18" t="s">
        <v>37</v>
      </c>
      <c r="D310" s="18" t="s">
        <v>47</v>
      </c>
      <c r="E310" s="19" t="s">
        <v>19</v>
      </c>
      <c r="F310" s="19" t="s">
        <v>20</v>
      </c>
      <c r="G310" s="19" t="s">
        <v>21</v>
      </c>
      <c r="H310" s="19" t="s">
        <v>22</v>
      </c>
      <c r="I310" s="19" t="s">
        <v>23</v>
      </c>
      <c r="J310" s="19" t="s">
        <v>24</v>
      </c>
      <c r="K310" s="19" t="s">
        <v>25</v>
      </c>
      <c r="L310" s="19" t="s">
        <v>26</v>
      </c>
      <c r="M310" s="19" t="s">
        <v>27</v>
      </c>
      <c r="N310" s="19" t="s">
        <v>28</v>
      </c>
      <c r="O310" s="19" t="s">
        <v>29</v>
      </c>
      <c r="P310" s="19" t="s">
        <v>30</v>
      </c>
      <c r="Q310" s="19" t="s">
        <v>31</v>
      </c>
      <c r="R310" s="19" t="s">
        <v>32</v>
      </c>
      <c r="S310" s="19" t="s">
        <v>33</v>
      </c>
      <c r="T310" s="19"/>
      <c r="U310" s="19"/>
    </row>
    <row r="311" spans="1:21">
      <c r="C311" s="21" t="s">
        <v>14</v>
      </c>
      <c r="D311" s="21"/>
      <c r="E311" s="21" t="s">
        <v>39</v>
      </c>
      <c r="F311" s="20"/>
      <c r="G311" s="20"/>
      <c r="H311" s="20"/>
      <c r="I311" s="20"/>
      <c r="J311" s="21" t="s">
        <v>13</v>
      </c>
      <c r="K311" s="21" t="s">
        <v>13</v>
      </c>
      <c r="L311" s="21" t="s">
        <v>13</v>
      </c>
      <c r="M311" s="21" t="s">
        <v>41</v>
      </c>
      <c r="N311" s="21" t="s">
        <v>41</v>
      </c>
      <c r="O311" s="21" t="s">
        <v>41</v>
      </c>
      <c r="P311" s="21" t="s">
        <v>41</v>
      </c>
      <c r="Q311" s="21" t="s">
        <v>41</v>
      </c>
      <c r="R311" s="21" t="s">
        <v>42</v>
      </c>
      <c r="S311" s="21"/>
      <c r="T311" s="21"/>
      <c r="U311" s="21"/>
    </row>
    <row r="312" spans="1:21">
      <c r="A312" s="15" t="s">
        <v>44</v>
      </c>
      <c r="B312" s="22"/>
      <c r="C312" s="23"/>
      <c r="D312" s="23"/>
      <c r="E312" s="24"/>
      <c r="F312" s="17"/>
      <c r="G312" s="25"/>
      <c r="H312" s="25"/>
      <c r="I312" s="25"/>
      <c r="J312" s="26"/>
      <c r="K312" s="26"/>
      <c r="L312" s="26"/>
      <c r="M312" s="27"/>
      <c r="N312" s="27"/>
      <c r="O312" s="27"/>
      <c r="P312" s="27"/>
      <c r="Q312" s="27"/>
      <c r="R312" s="27"/>
      <c r="S312" s="16"/>
      <c r="T312" s="27"/>
      <c r="U312" s="27"/>
    </row>
    <row r="313" spans="1:21">
      <c r="B313" s="22">
        <v>1.0000000000000001E-5</v>
      </c>
      <c r="C313" s="30">
        <f>B313/$D$15*($D$10-$D$13)</f>
        <v>1.5857142857142858E-3</v>
      </c>
      <c r="D313" s="29">
        <f>C313/$D$10</f>
        <v>1.1246200607902737E-5</v>
      </c>
      <c r="E313" s="24">
        <f>-0.003/C313</f>
        <v>-1.8918918918918919</v>
      </c>
      <c r="F313" s="17">
        <f>E313*(C313-$D$10)</f>
        <v>266.75375675675679</v>
      </c>
      <c r="G313" s="25">
        <f>E313*(C313-$D$10+$D$20)</f>
        <v>238.37537837837837</v>
      </c>
      <c r="H313" s="25">
        <f>E313*(C313-$D$10+$D$21)</f>
        <v>200.06456756756756</v>
      </c>
      <c r="I313" s="25">
        <f>E313*(C313-$D$10+$D$22)</f>
        <v>66.686189189189193</v>
      </c>
      <c r="J313" s="26">
        <f>SIGN(G313)*MIN($D$8*ABS(G313),$D$7)</f>
        <v>80</v>
      </c>
      <c r="K313" s="26">
        <f>SIGN(H313)*MIN($D$8*ABS(H313),$D$7)</f>
        <v>80</v>
      </c>
      <c r="L313" s="26">
        <f>SIGN(I313)*MIN($D$8*ABS(I313),$D$7)</f>
        <v>80</v>
      </c>
      <c r="M313" s="27">
        <f>J313*$D$283</f>
        <v>8668.7999999999993</v>
      </c>
      <c r="N313" s="27">
        <f>K313*$D$284*2</f>
        <v>4737.6000000000004</v>
      </c>
      <c r="O313" s="27">
        <f>L313*$D$285*2</f>
        <v>4737.6000000000004</v>
      </c>
      <c r="P313" s="9">
        <f>$D$15*C313*2*$D$12*(-0.85*$D$6)</f>
        <v>-0.39626999999999996</v>
      </c>
      <c r="Q313" s="27">
        <f>SUM(M313:P313)</f>
        <v>18143.603729999999</v>
      </c>
      <c r="R313" s="27">
        <f>(P313*(-$D$10+$D$18+$D$15*C313/2)+M313*($D$18-$D$20)+N313*($D$18-$D$21)+O313*($D$18-$D$22))/12</f>
        <v>3.2037145475139064</v>
      </c>
      <c r="S313" s="16">
        <f>MAX(0.65,MIN(0.9,0.65+(F313-0.002)*250/3))</f>
        <v>0.9</v>
      </c>
      <c r="T313" s="27">
        <f>Q313*S313</f>
        <v>16329.243356999999</v>
      </c>
      <c r="U313" s="27">
        <f>R313*S313</f>
        <v>2.8833430927625159</v>
      </c>
    </row>
    <row r="314" spans="1:21">
      <c r="B314" s="22">
        <v>0.05</v>
      </c>
      <c r="C314" s="26">
        <f t="shared" ref="C314:C331" si="230">B314/$D$15*($D$10-$D$13)</f>
        <v>7.9285714285714297</v>
      </c>
      <c r="D314" s="31">
        <f t="shared" ref="D314:D331" si="231">C314/$D$10</f>
        <v>5.6231003039513686E-2</v>
      </c>
      <c r="E314" s="24">
        <f t="shared" ref="E314:E331" si="232">-0.003/C314</f>
        <v>-3.7837837837837834E-4</v>
      </c>
      <c r="F314" s="17">
        <f t="shared" ref="F314:F331" si="233">E314*(C314-$D$10)</f>
        <v>5.0351351351351353E-2</v>
      </c>
      <c r="G314" s="25">
        <f t="shared" ref="G314:G331" si="234">E314*(C314-$D$10+$D$20)</f>
        <v>4.4675675675675673E-2</v>
      </c>
      <c r="H314" s="25">
        <f t="shared" ref="H314:H331" si="235">E314*(C314-$D$10+$D$21)</f>
        <v>3.7013513513513514E-2</v>
      </c>
      <c r="I314" s="25">
        <f t="shared" ref="I314:I331" si="236">E314*(C314-$D$10+$D$22)</f>
        <v>1.0337837837837842E-2</v>
      </c>
      <c r="J314" s="26">
        <f t="shared" ref="J314:J331" si="237">SIGN(G314)*MIN($D$8*ABS(G314),$D$7)</f>
        <v>80</v>
      </c>
      <c r="K314" s="26">
        <f t="shared" ref="K314:K331" si="238">SIGN(H314)*MIN($D$8*ABS(H314),$D$7)</f>
        <v>80</v>
      </c>
      <c r="L314" s="26">
        <f t="shared" ref="L314:L331" si="239">SIGN(I314)*MIN($D$8*ABS(I314),$D$7)</f>
        <v>80</v>
      </c>
      <c r="M314" s="27">
        <f t="shared" ref="M314:M331" si="240">J314*$D$283</f>
        <v>8668.7999999999993</v>
      </c>
      <c r="N314" s="27">
        <f t="shared" ref="N314:N331" si="241">K314*$D$284*2</f>
        <v>4737.6000000000004</v>
      </c>
      <c r="O314" s="27">
        <f t="shared" ref="O314:O331" si="242">L314*$D$285*2</f>
        <v>4737.6000000000004</v>
      </c>
      <c r="P314" s="9">
        <f t="shared" ref="P314:P331" si="243">$D$15*C314*2*$D$12*(-0.85*$D$6)</f>
        <v>-1981.3500000000004</v>
      </c>
      <c r="Q314" s="27">
        <f t="shared" ref="Q314:Q331" si="244">SUM(M314:P314)</f>
        <v>16162.65</v>
      </c>
      <c r="R314" s="27">
        <f t="shared" ref="R314:R331" si="245">(P314*(-$D$10+$D$18+$D$15*C314/2)+M314*($D$18-$D$20)+N314*($D$18-$D$21)+O314*($D$18-$D$22))/12</f>
        <v>15560.477187500006</v>
      </c>
      <c r="S314" s="16">
        <f t="shared" ref="S314:S331" si="246">MAX(0.65,MIN(0.9,0.65+(F314-0.002)*250/3))</f>
        <v>0.9</v>
      </c>
      <c r="T314" s="27">
        <f t="shared" ref="T314:T328" si="247">Q314*S314</f>
        <v>14546.385</v>
      </c>
      <c r="U314" s="27">
        <f t="shared" ref="U314:U328" si="248">R314*S314</f>
        <v>14004.429468750006</v>
      </c>
    </row>
    <row r="315" spans="1:21">
      <c r="B315" s="22">
        <v>9.9900000000000003E-2</v>
      </c>
      <c r="C315" s="26">
        <f t="shared" si="230"/>
        <v>15.841285714285718</v>
      </c>
      <c r="D315" s="31">
        <f t="shared" si="231"/>
        <v>0.11234954407294835</v>
      </c>
      <c r="E315" s="24">
        <f t="shared" si="232"/>
        <v>-1.8937856775694609E-4</v>
      </c>
      <c r="F315" s="17">
        <f t="shared" si="233"/>
        <v>2.3702378053729399E-2</v>
      </c>
      <c r="G315" s="25">
        <f t="shared" si="234"/>
        <v>2.0861699537375208E-2</v>
      </c>
      <c r="H315" s="25">
        <f t="shared" si="235"/>
        <v>1.702678354029705E-2</v>
      </c>
      <c r="I315" s="25">
        <f t="shared" si="236"/>
        <v>3.6755945134323495E-3</v>
      </c>
      <c r="J315" s="26">
        <f t="shared" si="237"/>
        <v>80</v>
      </c>
      <c r="K315" s="26">
        <f t="shared" si="238"/>
        <v>80</v>
      </c>
      <c r="L315" s="26">
        <f t="shared" si="239"/>
        <v>80</v>
      </c>
      <c r="M315" s="27">
        <f t="shared" si="240"/>
        <v>8668.7999999999993</v>
      </c>
      <c r="N315" s="27">
        <f t="shared" si="241"/>
        <v>4737.6000000000004</v>
      </c>
      <c r="O315" s="27">
        <f t="shared" si="242"/>
        <v>4737.6000000000004</v>
      </c>
      <c r="P315" s="9">
        <f t="shared" si="243"/>
        <v>-3958.7373000000011</v>
      </c>
      <c r="Q315" s="27">
        <f t="shared" si="244"/>
        <v>14185.262699999999</v>
      </c>
      <c r="R315" s="27">
        <f t="shared" si="245"/>
        <v>30176.206336001265</v>
      </c>
      <c r="S315" s="16">
        <f t="shared" si="246"/>
        <v>0.9</v>
      </c>
      <c r="T315" s="27">
        <f t="shared" si="247"/>
        <v>12766.736429999999</v>
      </c>
      <c r="U315" s="27">
        <f t="shared" si="248"/>
        <v>27158.585702401138</v>
      </c>
    </row>
    <row r="316" spans="1:21">
      <c r="B316" s="22">
        <v>0.14979999999999999</v>
      </c>
      <c r="C316" s="26">
        <f t="shared" si="230"/>
        <v>23.753999999999998</v>
      </c>
      <c r="D316" s="31">
        <f t="shared" si="231"/>
        <v>0.16846808510638298</v>
      </c>
      <c r="E316" s="24">
        <f t="shared" si="232"/>
        <v>-1.2629451881788332E-4</v>
      </c>
      <c r="F316" s="17">
        <f t="shared" si="233"/>
        <v>1.4807527153321549E-2</v>
      </c>
      <c r="G316" s="25">
        <f t="shared" si="234"/>
        <v>1.2913109371053298E-2</v>
      </c>
      <c r="H316" s="25">
        <f t="shared" si="235"/>
        <v>1.0355645364991161E-2</v>
      </c>
      <c r="I316" s="25">
        <f t="shared" si="236"/>
        <v>1.4518817883303879E-3</v>
      </c>
      <c r="J316" s="26">
        <f t="shared" si="237"/>
        <v>80</v>
      </c>
      <c r="K316" s="26">
        <f t="shared" si="238"/>
        <v>80</v>
      </c>
      <c r="L316" s="26">
        <f t="shared" si="239"/>
        <v>42.104571861581249</v>
      </c>
      <c r="M316" s="27">
        <f t="shared" si="240"/>
        <v>8668.7999999999993</v>
      </c>
      <c r="N316" s="27">
        <f t="shared" si="241"/>
        <v>4737.6000000000004</v>
      </c>
      <c r="O316" s="27">
        <f t="shared" si="242"/>
        <v>2493.4327456428414</v>
      </c>
      <c r="P316" s="9">
        <f t="shared" si="243"/>
        <v>-5936.1245999999992</v>
      </c>
      <c r="Q316" s="27">
        <f t="shared" si="244"/>
        <v>9963.7081456428423</v>
      </c>
      <c r="R316" s="27">
        <f t="shared" si="245"/>
        <v>55430.450503515596</v>
      </c>
      <c r="S316" s="16">
        <f t="shared" si="246"/>
        <v>0.9</v>
      </c>
      <c r="T316" s="27">
        <f t="shared" si="247"/>
        <v>8967.3373310785591</v>
      </c>
      <c r="U316" s="27">
        <f t="shared" si="248"/>
        <v>49887.405453164036</v>
      </c>
    </row>
    <row r="317" spans="1:21">
      <c r="B317" s="22">
        <v>0.19969999999999999</v>
      </c>
      <c r="C317" s="26">
        <f t="shared" si="230"/>
        <v>31.666714285714288</v>
      </c>
      <c r="D317" s="31">
        <f t="shared" si="231"/>
        <v>0.22458662613981764</v>
      </c>
      <c r="E317" s="24">
        <f t="shared" si="232"/>
        <v>-9.4736699644060673E-5</v>
      </c>
      <c r="F317" s="17">
        <f t="shared" si="233"/>
        <v>1.0357874649812554E-2</v>
      </c>
      <c r="G317" s="25">
        <f t="shared" si="234"/>
        <v>8.9368241551516445E-3</v>
      </c>
      <c r="H317" s="25">
        <f t="shared" si="235"/>
        <v>7.0184059873594157E-3</v>
      </c>
      <c r="I317" s="25">
        <f t="shared" si="236"/>
        <v>3.3946866245313851E-4</v>
      </c>
      <c r="J317" s="26">
        <f t="shared" si="237"/>
        <v>80</v>
      </c>
      <c r="K317" s="26">
        <f t="shared" si="238"/>
        <v>80</v>
      </c>
      <c r="L317" s="26">
        <f t="shared" si="239"/>
        <v>9.844591211141017</v>
      </c>
      <c r="M317" s="27">
        <f t="shared" si="240"/>
        <v>8668.7999999999993</v>
      </c>
      <c r="N317" s="27">
        <f t="shared" si="241"/>
        <v>4737.6000000000004</v>
      </c>
      <c r="O317" s="27">
        <f t="shared" si="242"/>
        <v>582.99669152377101</v>
      </c>
      <c r="P317" s="9">
        <f t="shared" si="243"/>
        <v>-7913.5119000000013</v>
      </c>
      <c r="Q317" s="27">
        <f t="shared" si="244"/>
        <v>6075.8847915237693</v>
      </c>
      <c r="R317" s="27">
        <f t="shared" si="245"/>
        <v>78054.193477918088</v>
      </c>
      <c r="S317" s="16">
        <f t="shared" si="246"/>
        <v>0.9</v>
      </c>
      <c r="T317" s="27">
        <f t="shared" si="247"/>
        <v>5468.2963123713926</v>
      </c>
      <c r="U317" s="27">
        <f t="shared" si="248"/>
        <v>70248.774130126287</v>
      </c>
    </row>
    <row r="318" spans="1:21">
      <c r="B318" s="22">
        <v>0.24959999999999999</v>
      </c>
      <c r="C318" s="26">
        <f t="shared" si="230"/>
        <v>39.579428571428572</v>
      </c>
      <c r="D318" s="29">
        <f t="shared" si="231"/>
        <v>0.28070516717325228</v>
      </c>
      <c r="E318" s="24">
        <f t="shared" si="232"/>
        <v>-7.5796950796950792E-5</v>
      </c>
      <c r="F318" s="17">
        <f t="shared" si="233"/>
        <v>7.687370062370062E-3</v>
      </c>
      <c r="G318" s="25">
        <f t="shared" si="234"/>
        <v>6.5504158004158009E-3</v>
      </c>
      <c r="H318" s="25">
        <f t="shared" si="235"/>
        <v>5.0155275467775474E-3</v>
      </c>
      <c r="I318" s="25">
        <f t="shared" si="236"/>
        <v>-3.2815748440748389E-4</v>
      </c>
      <c r="J318" s="26">
        <f t="shared" si="237"/>
        <v>80</v>
      </c>
      <c r="K318" s="26">
        <f t="shared" si="238"/>
        <v>80</v>
      </c>
      <c r="L318" s="26">
        <f t="shared" si="239"/>
        <v>-9.5165670478170323</v>
      </c>
      <c r="M318" s="27">
        <f t="shared" si="240"/>
        <v>8668.7999999999993</v>
      </c>
      <c r="N318" s="27">
        <f t="shared" si="241"/>
        <v>4737.6000000000004</v>
      </c>
      <c r="O318" s="27">
        <f t="shared" si="242"/>
        <v>-563.57110057172463</v>
      </c>
      <c r="P318" s="9">
        <f t="shared" si="243"/>
        <v>-9890.8991999999998</v>
      </c>
      <c r="Q318" s="27">
        <f t="shared" si="244"/>
        <v>2951.9296994282759</v>
      </c>
      <c r="R318" s="27">
        <f t="shared" si="245"/>
        <v>95833.424216185012</v>
      </c>
      <c r="S318" s="16">
        <f t="shared" si="246"/>
        <v>0.9</v>
      </c>
      <c r="T318" s="27">
        <f t="shared" si="247"/>
        <v>2656.7367294854484</v>
      </c>
      <c r="U318" s="27">
        <f t="shared" si="248"/>
        <v>86250.081794566519</v>
      </c>
    </row>
    <row r="319" spans="1:21">
      <c r="B319" s="22">
        <v>0.29949999999999999</v>
      </c>
      <c r="C319" s="26">
        <f t="shared" si="230"/>
        <v>47.492142857142859</v>
      </c>
      <c r="D319" s="29">
        <f t="shared" si="231"/>
        <v>0.33682370820668694</v>
      </c>
      <c r="E319" s="24">
        <f t="shared" si="232"/>
        <v>-6.3168343635789382E-5</v>
      </c>
      <c r="F319" s="17">
        <f t="shared" si="233"/>
        <v>5.9067364526463034E-3</v>
      </c>
      <c r="G319" s="25">
        <f t="shared" si="234"/>
        <v>4.9592112981094623E-3</v>
      </c>
      <c r="H319" s="25">
        <f t="shared" si="235"/>
        <v>3.6800523394847273E-3</v>
      </c>
      <c r="I319" s="25">
        <f t="shared" si="236"/>
        <v>-7.733158868384241E-4</v>
      </c>
      <c r="J319" s="26">
        <f t="shared" si="237"/>
        <v>80</v>
      </c>
      <c r="K319" s="26">
        <f t="shared" si="238"/>
        <v>80</v>
      </c>
      <c r="L319" s="26">
        <f t="shared" si="239"/>
        <v>-22.4261607183143</v>
      </c>
      <c r="M319" s="27">
        <f t="shared" si="240"/>
        <v>8668.7999999999993</v>
      </c>
      <c r="N319" s="27">
        <f t="shared" si="241"/>
        <v>4737.6000000000004</v>
      </c>
      <c r="O319" s="27">
        <f t="shared" si="242"/>
        <v>-1328.0772377385729</v>
      </c>
      <c r="P319" s="9">
        <f t="shared" si="243"/>
        <v>-11868.2865</v>
      </c>
      <c r="Q319" s="27">
        <f t="shared" si="244"/>
        <v>210.0362622614266</v>
      </c>
      <c r="R319" s="27">
        <f t="shared" si="245"/>
        <v>110733.38617094675</v>
      </c>
      <c r="S319" s="16">
        <f t="shared" si="246"/>
        <v>0.9</v>
      </c>
      <c r="T319" s="27">
        <f t="shared" si="247"/>
        <v>189.03263603528396</v>
      </c>
      <c r="U319" s="27">
        <f t="shared" si="248"/>
        <v>99660.04755385207</v>
      </c>
    </row>
    <row r="320" spans="1:21">
      <c r="B320" s="22">
        <v>0.34939999999999999</v>
      </c>
      <c r="C320" s="26">
        <f t="shared" si="230"/>
        <v>55.404857142857146</v>
      </c>
      <c r="D320" s="29">
        <f t="shared" si="231"/>
        <v>0.39294224924012161</v>
      </c>
      <c r="E320" s="24">
        <f t="shared" si="232"/>
        <v>-5.4146877272235026E-5</v>
      </c>
      <c r="F320" s="17">
        <f t="shared" si="233"/>
        <v>4.6347096953851391E-3</v>
      </c>
      <c r="G320" s="25">
        <f t="shared" si="234"/>
        <v>3.8225065363016136E-3</v>
      </c>
      <c r="H320" s="25">
        <f t="shared" si="235"/>
        <v>2.7260322715388545E-3</v>
      </c>
      <c r="I320" s="25">
        <f t="shared" si="236"/>
        <v>-1.0913225761537151E-3</v>
      </c>
      <c r="J320" s="26">
        <f t="shared" si="237"/>
        <v>80</v>
      </c>
      <c r="K320" s="26">
        <f t="shared" si="238"/>
        <v>79.054935874626779</v>
      </c>
      <c r="L320" s="26">
        <f t="shared" si="239"/>
        <v>-31.648354708457738</v>
      </c>
      <c r="M320" s="27">
        <f t="shared" si="240"/>
        <v>8668.7999999999993</v>
      </c>
      <c r="N320" s="27">
        <f t="shared" si="241"/>
        <v>4681.6333024953974</v>
      </c>
      <c r="O320" s="27">
        <f t="shared" si="242"/>
        <v>-1874.2155658348672</v>
      </c>
      <c r="P320" s="9">
        <f t="shared" si="243"/>
        <v>-13845.6738</v>
      </c>
      <c r="Q320" s="27">
        <f t="shared" si="244"/>
        <v>-2369.4560633394722</v>
      </c>
      <c r="R320" s="27">
        <f t="shared" si="245"/>
        <v>123555.91662450558</v>
      </c>
      <c r="S320" s="16">
        <f t="shared" si="246"/>
        <v>0.86955914128209499</v>
      </c>
      <c r="T320" s="27">
        <f t="shared" si="247"/>
        <v>-2060.3821797431247</v>
      </c>
      <c r="U320" s="27">
        <f t="shared" si="248"/>
        <v>107439.1767603272</v>
      </c>
    </row>
    <row r="321" spans="2:21">
      <c r="B321" s="22">
        <v>0.39929999999999999</v>
      </c>
      <c r="C321" s="26">
        <f t="shared" si="230"/>
        <v>63.317571428571426</v>
      </c>
      <c r="D321" s="29">
        <f t="shared" si="231"/>
        <v>0.44906079027355622</v>
      </c>
      <c r="E321" s="24">
        <f t="shared" si="232"/>
        <v>-4.7380212669468872E-5</v>
      </c>
      <c r="F321" s="17">
        <f t="shared" si="233"/>
        <v>3.6806099863951106E-3</v>
      </c>
      <c r="G321" s="25">
        <f t="shared" si="234"/>
        <v>2.9699067963530777E-3</v>
      </c>
      <c r="H321" s="25">
        <f t="shared" si="235"/>
        <v>2.010457489796333E-3</v>
      </c>
      <c r="I321" s="25">
        <f t="shared" si="236"/>
        <v>-1.3298475034012225E-3</v>
      </c>
      <c r="J321" s="26">
        <f t="shared" si="237"/>
        <v>80</v>
      </c>
      <c r="K321" s="26">
        <f t="shared" si="238"/>
        <v>58.303267204093657</v>
      </c>
      <c r="L321" s="26">
        <f t="shared" si="239"/>
        <v>-38.56557759863545</v>
      </c>
      <c r="M321" s="27">
        <f t="shared" si="240"/>
        <v>8668.7999999999993</v>
      </c>
      <c r="N321" s="27">
        <f t="shared" si="241"/>
        <v>3452.7194838264263</v>
      </c>
      <c r="O321" s="27">
        <f t="shared" si="242"/>
        <v>-2283.8535053911914</v>
      </c>
      <c r="P321" s="9">
        <f t="shared" si="243"/>
        <v>-15823.061099999999</v>
      </c>
      <c r="Q321" s="27">
        <f t="shared" si="244"/>
        <v>-5985.3951215647648</v>
      </c>
      <c r="R321" s="27">
        <f t="shared" si="245"/>
        <v>133909.49185254012</v>
      </c>
      <c r="S321" s="16">
        <f t="shared" si="246"/>
        <v>0.7900508321995926</v>
      </c>
      <c r="T321" s="27">
        <f t="shared" si="247"/>
        <v>-4728.7663968356246</v>
      </c>
      <c r="U321" s="27">
        <f t="shared" si="248"/>
        <v>105795.30547752389</v>
      </c>
    </row>
    <row r="322" spans="2:21">
      <c r="B322" s="22">
        <v>0.44919999999999999</v>
      </c>
      <c r="C322" s="26">
        <f t="shared" si="230"/>
        <v>71.230285714285728</v>
      </c>
      <c r="D322" s="29">
        <f t="shared" si="231"/>
        <v>0.505179331306991</v>
      </c>
      <c r="E322" s="24">
        <f t="shared" si="232"/>
        <v>-4.2116916560371587E-5</v>
      </c>
      <c r="F322" s="17">
        <f t="shared" si="233"/>
        <v>2.9384852350123935E-3</v>
      </c>
      <c r="G322" s="25">
        <f t="shared" si="234"/>
        <v>2.3067314866068197E-3</v>
      </c>
      <c r="H322" s="25">
        <f t="shared" si="235"/>
        <v>1.4538639262592951E-3</v>
      </c>
      <c r="I322" s="25">
        <f t="shared" si="236"/>
        <v>-1.5153786912469019E-3</v>
      </c>
      <c r="J322" s="26">
        <f t="shared" si="237"/>
        <v>66.895213111597769</v>
      </c>
      <c r="K322" s="26">
        <f t="shared" si="238"/>
        <v>42.16205386151956</v>
      </c>
      <c r="L322" s="26">
        <f t="shared" si="239"/>
        <v>-43.945982046160154</v>
      </c>
      <c r="M322" s="27">
        <f t="shared" si="240"/>
        <v>7248.765292772734</v>
      </c>
      <c r="N322" s="27">
        <f t="shared" si="241"/>
        <v>2496.8368296791882</v>
      </c>
      <c r="O322" s="27">
        <f t="shared" si="242"/>
        <v>-2602.4810567736045</v>
      </c>
      <c r="P322" s="9">
        <f t="shared" si="243"/>
        <v>-17800.448400000001</v>
      </c>
      <c r="Q322" s="27">
        <f t="shared" si="244"/>
        <v>-10657.327334321682</v>
      </c>
      <c r="R322" s="27">
        <f t="shared" si="245"/>
        <v>139650.8315872559</v>
      </c>
      <c r="S322" s="16">
        <f t="shared" si="246"/>
        <v>0.72820710291769952</v>
      </c>
      <c r="T322" s="27">
        <f t="shared" si="247"/>
        <v>-7760.7414629720015</v>
      </c>
      <c r="U322" s="27">
        <f t="shared" si="248"/>
        <v>101694.72749020318</v>
      </c>
    </row>
    <row r="323" spans="2:21">
      <c r="B323" s="22">
        <v>0.49909999999999999</v>
      </c>
      <c r="C323" s="26">
        <f t="shared" si="230"/>
        <v>79.143000000000015</v>
      </c>
      <c r="D323" s="29">
        <f t="shared" si="231"/>
        <v>0.56129787234042561</v>
      </c>
      <c r="E323" s="24">
        <f t="shared" si="232"/>
        <v>-3.7906068761608724E-5</v>
      </c>
      <c r="F323" s="17">
        <f t="shared" si="233"/>
        <v>2.3447556953868302E-3</v>
      </c>
      <c r="G323" s="25">
        <f t="shared" si="234"/>
        <v>1.7761646639626995E-3</v>
      </c>
      <c r="H323" s="25">
        <f t="shared" si="235"/>
        <v>1.0085667715401228E-3</v>
      </c>
      <c r="I323" s="25">
        <f t="shared" si="236"/>
        <v>-1.6638110761532923E-3</v>
      </c>
      <c r="J323" s="26">
        <f t="shared" si="237"/>
        <v>51.508775254918284</v>
      </c>
      <c r="K323" s="26">
        <f t="shared" si="238"/>
        <v>29.248436374663562</v>
      </c>
      <c r="L323" s="26">
        <f t="shared" si="239"/>
        <v>-48.250521208445477</v>
      </c>
      <c r="M323" s="27">
        <f t="shared" si="240"/>
        <v>5581.4908866229453</v>
      </c>
      <c r="N323" s="27">
        <f t="shared" si="241"/>
        <v>1732.0924021075762</v>
      </c>
      <c r="O323" s="27">
        <f t="shared" si="242"/>
        <v>-2857.3958659641412</v>
      </c>
      <c r="P323" s="9">
        <f t="shared" si="243"/>
        <v>-19777.835700000003</v>
      </c>
      <c r="Q323" s="27">
        <f t="shared" si="244"/>
        <v>-15321.648277233624</v>
      </c>
      <c r="R323" s="27">
        <f t="shared" si="245"/>
        <v>143693.46873971898</v>
      </c>
      <c r="S323" s="16">
        <f t="shared" si="246"/>
        <v>0.6787296412822359</v>
      </c>
      <c r="T323" s="27">
        <f t="shared" si="247"/>
        <v>-10399.256839059366</v>
      </c>
      <c r="U323" s="27">
        <f t="shared" si="248"/>
        <v>97529.016492309645</v>
      </c>
    </row>
    <row r="324" spans="2:21">
      <c r="B324" s="22">
        <v>0.54900000000000004</v>
      </c>
      <c r="C324" s="26">
        <f t="shared" si="230"/>
        <v>87.055714285714288</v>
      </c>
      <c r="D324" s="29">
        <f t="shared" si="231"/>
        <v>0.61741641337386022</v>
      </c>
      <c r="E324" s="24">
        <f t="shared" si="232"/>
        <v>-3.4460690198395119E-5</v>
      </c>
      <c r="F324" s="17">
        <f t="shared" si="233"/>
        <v>1.8589573179737114E-3</v>
      </c>
      <c r="G324" s="25">
        <f t="shared" si="234"/>
        <v>1.3420469649977848E-3</v>
      </c>
      <c r="H324" s="25">
        <f t="shared" si="235"/>
        <v>6.4421798848028351E-4</v>
      </c>
      <c r="I324" s="25">
        <f t="shared" si="236"/>
        <v>-1.7852606705065725E-3</v>
      </c>
      <c r="J324" s="26">
        <f t="shared" si="237"/>
        <v>38.919361984935755</v>
      </c>
      <c r="K324" s="26">
        <f t="shared" si="238"/>
        <v>18.682321665928221</v>
      </c>
      <c r="L324" s="26">
        <f t="shared" si="239"/>
        <v>-51.7725594446906</v>
      </c>
      <c r="M324" s="27">
        <f t="shared" si="240"/>
        <v>4217.3020646876384</v>
      </c>
      <c r="N324" s="27">
        <f t="shared" si="241"/>
        <v>1106.3670890562692</v>
      </c>
      <c r="O324" s="27">
        <f t="shared" si="242"/>
        <v>-3065.9709703145772</v>
      </c>
      <c r="P324" s="9">
        <f t="shared" si="243"/>
        <v>-21755.223000000002</v>
      </c>
      <c r="Q324" s="27">
        <f t="shared" si="244"/>
        <v>-19497.524816570673</v>
      </c>
      <c r="R324" s="27">
        <f t="shared" si="245"/>
        <v>147418.0834892127</v>
      </c>
      <c r="S324" s="16">
        <f t="shared" si="246"/>
        <v>0.65</v>
      </c>
      <c r="T324" s="27">
        <f t="shared" si="247"/>
        <v>-12673.391130770937</v>
      </c>
      <c r="U324" s="27">
        <f t="shared" si="248"/>
        <v>95821.754267988261</v>
      </c>
    </row>
    <row r="325" spans="2:21">
      <c r="B325" s="22">
        <v>0.59889999999999999</v>
      </c>
      <c r="C325" s="26">
        <f t="shared" si="230"/>
        <v>94.968428571428575</v>
      </c>
      <c r="D325" s="29">
        <f t="shared" si="231"/>
        <v>0.67353495440729483</v>
      </c>
      <c r="E325" s="24">
        <f t="shared" si="232"/>
        <v>-3.1589445514975652E-5</v>
      </c>
      <c r="F325" s="17">
        <f t="shared" si="233"/>
        <v>1.4541118176115669E-3</v>
      </c>
      <c r="G325" s="25">
        <f t="shared" si="234"/>
        <v>9.8027013488693224E-4</v>
      </c>
      <c r="H325" s="25">
        <f t="shared" si="235"/>
        <v>3.4058386320867521E-4</v>
      </c>
      <c r="I325" s="25">
        <f t="shared" si="236"/>
        <v>-1.8864720455971083E-3</v>
      </c>
      <c r="J325" s="26">
        <f t="shared" si="237"/>
        <v>28.427833911721034</v>
      </c>
      <c r="K325" s="26">
        <f t="shared" si="238"/>
        <v>9.8769320330515811</v>
      </c>
      <c r="L325" s="26">
        <f t="shared" si="239"/>
        <v>-54.707689322316142</v>
      </c>
      <c r="M325" s="27">
        <f t="shared" si="240"/>
        <v>3080.4400826740912</v>
      </c>
      <c r="N325" s="27">
        <f t="shared" si="241"/>
        <v>584.91191499731462</v>
      </c>
      <c r="O325" s="27">
        <f t="shared" si="242"/>
        <v>-3239.7893616675619</v>
      </c>
      <c r="P325" s="9">
        <f t="shared" si="243"/>
        <v>-23732.610300000004</v>
      </c>
      <c r="Q325" s="27">
        <f t="shared" si="244"/>
        <v>-23307.04766399616</v>
      </c>
      <c r="R325" s="27">
        <f t="shared" si="245"/>
        <v>150676.02812499684</v>
      </c>
      <c r="S325" s="16">
        <f t="shared" si="246"/>
        <v>0.65</v>
      </c>
      <c r="T325" s="27">
        <f t="shared" si="247"/>
        <v>-15149.580981597504</v>
      </c>
      <c r="U325" s="27">
        <f t="shared" si="248"/>
        <v>97939.418281247956</v>
      </c>
    </row>
    <row r="326" spans="2:21">
      <c r="B326" s="22">
        <v>0.64880000000000004</v>
      </c>
      <c r="C326" s="26">
        <f t="shared" si="230"/>
        <v>102.88114285714286</v>
      </c>
      <c r="D326" s="29">
        <f t="shared" si="231"/>
        <v>0.72965349544072955</v>
      </c>
      <c r="E326" s="24">
        <f t="shared" si="232"/>
        <v>-2.9159862698703635E-5</v>
      </c>
      <c r="F326" s="17">
        <f t="shared" si="233"/>
        <v>1.1115406405172125E-3</v>
      </c>
      <c r="G326" s="25">
        <f t="shared" si="234"/>
        <v>6.7414270003665795E-4</v>
      </c>
      <c r="H326" s="25">
        <f t="shared" si="235"/>
        <v>8.3655480387909341E-5</v>
      </c>
      <c r="I326" s="25">
        <f t="shared" si="236"/>
        <v>-1.9721148398706969E-3</v>
      </c>
      <c r="J326" s="26">
        <f t="shared" si="237"/>
        <v>19.550138301063079</v>
      </c>
      <c r="K326" s="26">
        <f t="shared" si="238"/>
        <v>2.4260089312493709</v>
      </c>
      <c r="L326" s="26">
        <f t="shared" si="239"/>
        <v>-57.191330356250212</v>
      </c>
      <c r="M326" s="27">
        <f t="shared" si="240"/>
        <v>2118.4529863031953</v>
      </c>
      <c r="N326" s="27">
        <f t="shared" si="241"/>
        <v>143.66824890858774</v>
      </c>
      <c r="O326" s="27">
        <f t="shared" si="242"/>
        <v>-3386.8705836971376</v>
      </c>
      <c r="P326" s="9">
        <f t="shared" si="243"/>
        <v>-25709.997599999999</v>
      </c>
      <c r="Q326" s="27">
        <f t="shared" si="244"/>
        <v>-26834.746948485354</v>
      </c>
      <c r="R326" s="27">
        <f t="shared" si="245"/>
        <v>153364.38564388963</v>
      </c>
      <c r="S326" s="16">
        <f t="shared" si="246"/>
        <v>0.65</v>
      </c>
      <c r="T326" s="27">
        <f t="shared" si="247"/>
        <v>-17442.585516515479</v>
      </c>
      <c r="U326" s="27">
        <f t="shared" si="248"/>
        <v>99686.850668528263</v>
      </c>
    </row>
    <row r="327" spans="2:21">
      <c r="B327" s="22">
        <v>0.69869999999999999</v>
      </c>
      <c r="C327" s="26">
        <f t="shared" si="230"/>
        <v>110.79385714285715</v>
      </c>
      <c r="D327" s="29">
        <f t="shared" si="231"/>
        <v>0.78577203647416416</v>
      </c>
      <c r="E327" s="24">
        <f t="shared" si="232"/>
        <v>-2.7077313466321624E-5</v>
      </c>
      <c r="F327" s="17">
        <f t="shared" si="233"/>
        <v>8.1790119875134882E-4</v>
      </c>
      <c r="G327" s="25">
        <f t="shared" si="234"/>
        <v>4.1174149675652451E-4</v>
      </c>
      <c r="H327" s="25">
        <f t="shared" si="235"/>
        <v>-1.365741009364884E-4</v>
      </c>
      <c r="I327" s="25">
        <f t="shared" si="236"/>
        <v>-2.0455247003121628E-3</v>
      </c>
      <c r="J327" s="26">
        <f t="shared" si="237"/>
        <v>11.940503405939211</v>
      </c>
      <c r="K327" s="26">
        <f t="shared" si="238"/>
        <v>-3.9606489271581635</v>
      </c>
      <c r="L327" s="26">
        <f t="shared" si="239"/>
        <v>-59.320216309052725</v>
      </c>
      <c r="M327" s="27">
        <f t="shared" si="240"/>
        <v>1293.8729490675728</v>
      </c>
      <c r="N327" s="27">
        <f t="shared" si="241"/>
        <v>-234.54962946630644</v>
      </c>
      <c r="O327" s="27">
        <f t="shared" si="242"/>
        <v>-3512.9432098221023</v>
      </c>
      <c r="P327" s="9">
        <f t="shared" si="243"/>
        <v>-27687.384900000005</v>
      </c>
      <c r="Q327" s="27">
        <f t="shared" si="244"/>
        <v>-30141.004790220839</v>
      </c>
      <c r="R327" s="27">
        <f t="shared" si="245"/>
        <v>155409.63969225137</v>
      </c>
      <c r="S327" s="16">
        <f t="shared" si="246"/>
        <v>0.65</v>
      </c>
      <c r="T327" s="27">
        <f t="shared" si="247"/>
        <v>-19591.653113643544</v>
      </c>
      <c r="U327" s="27">
        <f t="shared" si="248"/>
        <v>101016.2657999634</v>
      </c>
    </row>
    <row r="328" spans="2:21">
      <c r="B328" s="22">
        <v>0.74860000000000004</v>
      </c>
      <c r="C328" s="26">
        <f t="shared" si="230"/>
        <v>118.70657142857145</v>
      </c>
      <c r="D328" s="29">
        <f t="shared" si="231"/>
        <v>0.84189057750759899</v>
      </c>
      <c r="E328" s="24">
        <f t="shared" si="232"/>
        <v>-2.5272400372587383E-5</v>
      </c>
      <c r="F328" s="17">
        <f t="shared" si="233"/>
        <v>5.6340845253482108E-4</v>
      </c>
      <c r="G328" s="25">
        <f t="shared" si="234"/>
        <v>1.8432244694601034E-4</v>
      </c>
      <c r="H328" s="25">
        <f t="shared" si="235"/>
        <v>-3.2744366059888415E-4</v>
      </c>
      <c r="I328" s="25">
        <f t="shared" si="236"/>
        <v>-2.1091478868662948E-3</v>
      </c>
      <c r="J328" s="26">
        <f t="shared" si="237"/>
        <v>5.3453509614343</v>
      </c>
      <c r="K328" s="26">
        <f t="shared" si="238"/>
        <v>-9.4958661573676402</v>
      </c>
      <c r="L328" s="26">
        <f t="shared" si="239"/>
        <v>-61.16528871912255</v>
      </c>
      <c r="M328" s="27">
        <f t="shared" si="240"/>
        <v>579.22223018102079</v>
      </c>
      <c r="N328" s="27">
        <f t="shared" si="241"/>
        <v>-562.34519383931161</v>
      </c>
      <c r="O328" s="27">
        <f t="shared" si="242"/>
        <v>-3622.2083979464373</v>
      </c>
      <c r="P328" s="9">
        <f t="shared" si="243"/>
        <v>-29664.77220000001</v>
      </c>
      <c r="Q328" s="27">
        <f t="shared" si="244"/>
        <v>-33270.103561604737</v>
      </c>
      <c r="R328" s="27">
        <f t="shared" si="245"/>
        <v>156757.87565860958</v>
      </c>
      <c r="S328" s="16">
        <f t="shared" si="246"/>
        <v>0.65</v>
      </c>
      <c r="T328" s="27">
        <f t="shared" si="247"/>
        <v>-21625.567315043081</v>
      </c>
      <c r="U328" s="27">
        <f t="shared" si="248"/>
        <v>101892.61917809624</v>
      </c>
    </row>
    <row r="329" spans="2:21">
      <c r="B329" s="22">
        <v>0.8</v>
      </c>
      <c r="C329" s="26">
        <f t="shared" si="230"/>
        <v>126.85714285714288</v>
      </c>
      <c r="D329" s="29">
        <f t="shared" si="231"/>
        <v>0.89969604863221897</v>
      </c>
      <c r="E329" s="24">
        <f t="shared" si="232"/>
        <v>-2.3648648648648646E-5</v>
      </c>
      <c r="F329" s="17">
        <f t="shared" si="233"/>
        <v>3.3445945945945898E-4</v>
      </c>
      <c r="G329" s="25">
        <f t="shared" si="234"/>
        <v>-2.02702702702707E-5</v>
      </c>
      <c r="H329" s="25">
        <f t="shared" si="235"/>
        <v>-4.9915540540540579E-4</v>
      </c>
      <c r="I329" s="25">
        <f t="shared" si="236"/>
        <v>-2.1663851351351356E-3</v>
      </c>
      <c r="J329" s="26">
        <f t="shared" si="237"/>
        <v>-0.58783783783785026</v>
      </c>
      <c r="K329" s="26">
        <f t="shared" si="238"/>
        <v>-14.475506756756769</v>
      </c>
      <c r="L329" s="26">
        <f t="shared" si="239"/>
        <v>-62.825168918918934</v>
      </c>
      <c r="M329" s="27">
        <f t="shared" si="240"/>
        <v>-63.698108108109452</v>
      </c>
      <c r="N329" s="27">
        <f t="shared" si="241"/>
        <v>-857.23951013513579</v>
      </c>
      <c r="O329" s="27">
        <f t="shared" si="242"/>
        <v>-3720.506503378379</v>
      </c>
      <c r="P329" s="9">
        <f t="shared" si="243"/>
        <v>-31701.600000000006</v>
      </c>
      <c r="Q329" s="27">
        <f t="shared" si="244"/>
        <v>-36343.044121621628</v>
      </c>
      <c r="R329" s="27">
        <f t="shared" si="245"/>
        <v>157375.25526140202</v>
      </c>
      <c r="S329" s="16">
        <f t="shared" si="246"/>
        <v>0.65</v>
      </c>
      <c r="T329" s="27">
        <f t="shared" ref="T329:T331" si="249">Q329*S329</f>
        <v>-23622.97867905406</v>
      </c>
      <c r="U329" s="27">
        <f t="shared" ref="U329:U331" si="250">R329*S329</f>
        <v>102293.91591991132</v>
      </c>
    </row>
    <row r="330" spans="2:21">
      <c r="B330" s="22">
        <v>0.85</v>
      </c>
      <c r="C330" s="26">
        <f t="shared" si="230"/>
        <v>134.78571428571431</v>
      </c>
      <c r="D330" s="29">
        <f t="shared" si="231"/>
        <v>0.95592705167173264</v>
      </c>
      <c r="E330" s="24">
        <f t="shared" si="232"/>
        <v>-2.2257551669316373E-5</v>
      </c>
      <c r="F330" s="17">
        <f t="shared" si="233"/>
        <v>1.3831478537360844E-4</v>
      </c>
      <c r="G330" s="25">
        <f t="shared" si="234"/>
        <v>-1.9554848966613715E-4</v>
      </c>
      <c r="H330" s="25">
        <f t="shared" si="235"/>
        <v>-6.4626391096979374E-4</v>
      </c>
      <c r="I330" s="25">
        <f t="shared" si="236"/>
        <v>-2.2154213036565981E-3</v>
      </c>
      <c r="J330" s="26">
        <f t="shared" si="237"/>
        <v>-5.6709062003179778</v>
      </c>
      <c r="K330" s="26">
        <f t="shared" si="238"/>
        <v>-18.74165341812402</v>
      </c>
      <c r="L330" s="26">
        <f t="shared" si="239"/>
        <v>-64.247217806041348</v>
      </c>
      <c r="M330" s="27">
        <f t="shared" si="240"/>
        <v>-614.4993958664561</v>
      </c>
      <c r="N330" s="27">
        <f t="shared" si="241"/>
        <v>-1109.8807154213046</v>
      </c>
      <c r="O330" s="27">
        <f t="shared" si="242"/>
        <v>-3804.7202384737684</v>
      </c>
      <c r="P330" s="9">
        <f t="shared" si="243"/>
        <v>-33682.950000000004</v>
      </c>
      <c r="Q330" s="27">
        <f t="shared" si="244"/>
        <v>-39212.050349761535</v>
      </c>
      <c r="R330" s="27">
        <f t="shared" si="245"/>
        <v>157193.00449234896</v>
      </c>
      <c r="S330" s="16">
        <f t="shared" si="246"/>
        <v>0.65</v>
      </c>
      <c r="T330" s="27">
        <f t="shared" si="249"/>
        <v>-25487.832727344998</v>
      </c>
      <c r="U330" s="27">
        <f t="shared" si="250"/>
        <v>102175.45292002683</v>
      </c>
    </row>
    <row r="331" spans="2:21">
      <c r="B331" s="22">
        <v>0.9</v>
      </c>
      <c r="C331" s="26">
        <f t="shared" si="230"/>
        <v>142.71428571428572</v>
      </c>
      <c r="D331" s="29">
        <f t="shared" si="231"/>
        <v>1.0121580547112463</v>
      </c>
      <c r="E331" s="24">
        <f t="shared" si="232"/>
        <v>-2.1021021021021022E-5</v>
      </c>
      <c r="F331" s="17">
        <f t="shared" si="233"/>
        <v>-3.6036036036036207E-5</v>
      </c>
      <c r="G331" s="25">
        <f t="shared" si="234"/>
        <v>-3.5135135135135151E-4</v>
      </c>
      <c r="H331" s="25">
        <f t="shared" si="235"/>
        <v>-7.7702702702702722E-4</v>
      </c>
      <c r="I331" s="25">
        <f t="shared" si="236"/>
        <v>-2.2590090090090094E-3</v>
      </c>
      <c r="J331" s="26">
        <f t="shared" si="237"/>
        <v>-10.189189189189193</v>
      </c>
      <c r="K331" s="26">
        <f t="shared" si="238"/>
        <v>-22.53378378378379</v>
      </c>
      <c r="L331" s="26">
        <f t="shared" si="239"/>
        <v>-65.511261261261268</v>
      </c>
      <c r="M331" s="27">
        <f t="shared" si="240"/>
        <v>-1104.100540540541</v>
      </c>
      <c r="N331" s="27">
        <f t="shared" si="241"/>
        <v>-1334.4506756756759</v>
      </c>
      <c r="O331" s="27">
        <f t="shared" si="242"/>
        <v>-3879.576891891892</v>
      </c>
      <c r="P331" s="9">
        <f t="shared" si="243"/>
        <v>-35664.300000000003</v>
      </c>
      <c r="Q331" s="27">
        <f t="shared" si="244"/>
        <v>-41982.428108108114</v>
      </c>
      <c r="R331" s="27">
        <f t="shared" si="245"/>
        <v>156214.46134346849</v>
      </c>
      <c r="S331" s="16">
        <f t="shared" si="246"/>
        <v>0.65</v>
      </c>
      <c r="T331" s="27">
        <f t="shared" si="249"/>
        <v>-27288.578270270275</v>
      </c>
      <c r="U331" s="27">
        <f t="shared" si="250"/>
        <v>101539.39987325452</v>
      </c>
    </row>
    <row r="333" spans="2:21">
      <c r="B333" s="11" t="s">
        <v>7</v>
      </c>
      <c r="D333" s="33">
        <v>1.6E-2</v>
      </c>
    </row>
    <row r="334" spans="2:21">
      <c r="B334" s="9" t="s">
        <v>8</v>
      </c>
      <c r="C334" s="9" t="s">
        <v>15</v>
      </c>
      <c r="D334" s="26">
        <f>D333*($D$11-2*$D$12)*$D$13</f>
        <v>123.84</v>
      </c>
    </row>
    <row r="335" spans="2:21">
      <c r="B335" s="9" t="s">
        <v>9</v>
      </c>
      <c r="C335" s="9" t="s">
        <v>15</v>
      </c>
      <c r="D335" s="26">
        <f>D333*$D$10/2*$D$12</f>
        <v>33.840000000000003</v>
      </c>
    </row>
    <row r="336" spans="2:21">
      <c r="B336" s="9" t="s">
        <v>10</v>
      </c>
      <c r="C336" s="9" t="s">
        <v>15</v>
      </c>
      <c r="D336" s="26">
        <f>D335</f>
        <v>33.840000000000003</v>
      </c>
    </row>
    <row r="338" spans="1:21">
      <c r="B338" s="18" t="s">
        <v>38</v>
      </c>
      <c r="C338" s="18" t="s">
        <v>37</v>
      </c>
      <c r="D338" s="18" t="s">
        <v>47</v>
      </c>
      <c r="E338" s="19" t="s">
        <v>19</v>
      </c>
      <c r="F338" s="19" t="s">
        <v>20</v>
      </c>
      <c r="G338" s="19" t="s">
        <v>21</v>
      </c>
      <c r="H338" s="19" t="s">
        <v>22</v>
      </c>
      <c r="I338" s="19" t="s">
        <v>23</v>
      </c>
      <c r="J338" s="19" t="s">
        <v>24</v>
      </c>
      <c r="K338" s="19" t="s">
        <v>25</v>
      </c>
      <c r="L338" s="19" t="s">
        <v>26</v>
      </c>
      <c r="M338" s="19" t="s">
        <v>27</v>
      </c>
      <c r="N338" s="19" t="s">
        <v>28</v>
      </c>
      <c r="O338" s="19" t="s">
        <v>29</v>
      </c>
      <c r="P338" s="19" t="s">
        <v>30</v>
      </c>
      <c r="Q338" s="19" t="s">
        <v>31</v>
      </c>
      <c r="R338" s="19" t="s">
        <v>32</v>
      </c>
      <c r="S338" s="19" t="s">
        <v>33</v>
      </c>
      <c r="T338" s="19"/>
      <c r="U338" s="19"/>
    </row>
    <row r="339" spans="1:21">
      <c r="B339" s="20"/>
      <c r="C339" s="21" t="s">
        <v>14</v>
      </c>
      <c r="D339" s="21"/>
      <c r="E339" s="21" t="s">
        <v>39</v>
      </c>
      <c r="F339" s="20"/>
      <c r="G339" s="20"/>
      <c r="H339" s="20"/>
      <c r="I339" s="20"/>
      <c r="J339" s="21" t="s">
        <v>13</v>
      </c>
      <c r="K339" s="21" t="s">
        <v>13</v>
      </c>
      <c r="L339" s="21" t="s">
        <v>13</v>
      </c>
      <c r="M339" s="21" t="s">
        <v>41</v>
      </c>
      <c r="N339" s="21" t="s">
        <v>41</v>
      </c>
      <c r="O339" s="21" t="s">
        <v>41</v>
      </c>
      <c r="P339" s="21" t="s">
        <v>41</v>
      </c>
      <c r="Q339" s="21" t="s">
        <v>41</v>
      </c>
      <c r="R339" s="21" t="s">
        <v>42</v>
      </c>
      <c r="S339" s="21"/>
      <c r="T339" s="21"/>
      <c r="U339" s="21"/>
    </row>
    <row r="340" spans="1:21">
      <c r="A340" s="15" t="s">
        <v>36</v>
      </c>
      <c r="B340" s="22"/>
      <c r="C340" s="23"/>
      <c r="D340" s="23"/>
      <c r="E340" s="24"/>
      <c r="F340" s="17"/>
      <c r="G340" s="25"/>
      <c r="H340" s="25"/>
      <c r="I340" s="25"/>
      <c r="J340" s="26"/>
      <c r="K340" s="26"/>
      <c r="L340" s="26"/>
      <c r="M340" s="27"/>
      <c r="N340" s="27"/>
      <c r="O340" s="27"/>
      <c r="P340" s="27"/>
      <c r="Q340" s="27"/>
      <c r="R340" s="27"/>
      <c r="S340" s="16"/>
      <c r="T340" s="27"/>
      <c r="U340" s="27"/>
    </row>
    <row r="341" spans="1:21">
      <c r="B341" s="22">
        <v>1.0000000000000001E-5</v>
      </c>
      <c r="C341" s="23">
        <f t="shared" ref="C341:C359" si="251">B341/$D$15*$D$13</f>
        <v>4.285714285714286E-4</v>
      </c>
      <c r="D341" s="29">
        <f>C341/$D$10</f>
        <v>3.0395136778115506E-6</v>
      </c>
      <c r="E341" s="24">
        <f t="shared" ref="E341:E359" si="252">-0.003/C341</f>
        <v>-7</v>
      </c>
      <c r="F341" s="17">
        <f t="shared" ref="F341:F359" si="253">E341*(C341-$D$10)</f>
        <v>986.99700000000007</v>
      </c>
      <c r="G341" s="25">
        <f t="shared" ref="G341:G359" si="254">E341*(C341-$D$20)</f>
        <v>104.997</v>
      </c>
      <c r="H341" s="25">
        <f t="shared" ref="H341:H359" si="255">E341*(C341-$D$21)</f>
        <v>246.74700000000001</v>
      </c>
      <c r="I341" s="25">
        <f t="shared" ref="I341:I359" si="256">E341*(C341-$D$22)</f>
        <v>740.24699999999996</v>
      </c>
      <c r="J341" s="26">
        <f t="shared" ref="J341:J359" si="257">SIGN(G341)*MIN($D$8*ABS(G341),$D$7)</f>
        <v>80</v>
      </c>
      <c r="K341" s="26">
        <f t="shared" ref="K341:K359" si="258">SIGN(H341)*MIN($D$8*ABS(H341),$D$7)</f>
        <v>80</v>
      </c>
      <c r="L341" s="26">
        <f t="shared" ref="L341:L359" si="259">SIGN(I341)*MIN($D$8*ABS(I341),$D$7)</f>
        <v>80</v>
      </c>
      <c r="M341" s="27">
        <f>$D$334*J341</f>
        <v>9907.2000000000007</v>
      </c>
      <c r="N341" s="27">
        <f>$D$335*K341*2</f>
        <v>5414.4000000000005</v>
      </c>
      <c r="O341" s="27">
        <f>$D$336*L341*2</f>
        <v>5414.4000000000005</v>
      </c>
      <c r="P341" s="27">
        <f t="shared" ref="P341:P359" si="260">$D$15*C341*$D$11*(-0.85*$D$6)</f>
        <v>-0.56763000000000008</v>
      </c>
      <c r="Q341" s="27">
        <f>SUM(M341:P341)</f>
        <v>20735.432370000002</v>
      </c>
      <c r="R341" s="27">
        <f t="shared" ref="R341:R359" si="261">(P341*($D$18-$D$15*C341/2)+M341*($D$18-$D$20)+N341*($D$18-$D$21)+O341*($D$18-$D$22))/12</f>
        <v>-2.0805145296180854</v>
      </c>
      <c r="S341" s="16">
        <f t="shared" ref="S341:S359" si="262">MAX(0.65,MIN(0.9,0.65+(F341-0.002)*250/3))</f>
        <v>0.9</v>
      </c>
      <c r="T341" s="27">
        <f t="shared" ref="T341:T359" si="263">S341*Q341</f>
        <v>18661.889133000004</v>
      </c>
      <c r="U341" s="27">
        <f t="shared" ref="U341:U359" si="264">S341*R341</f>
        <v>-1.8724630766562769</v>
      </c>
    </row>
    <row r="342" spans="1:21">
      <c r="B342" s="22">
        <v>0.05</v>
      </c>
      <c r="C342" s="23">
        <f t="shared" si="251"/>
        <v>2.1428571428571432</v>
      </c>
      <c r="D342" s="29">
        <f t="shared" ref="D342:D358" si="265">C342/$D$10</f>
        <v>1.5197568389057753E-2</v>
      </c>
      <c r="E342" s="24">
        <f t="shared" si="252"/>
        <v>-1.3999999999999998E-3</v>
      </c>
      <c r="F342" s="17">
        <f t="shared" si="253"/>
        <v>0.19439999999999996</v>
      </c>
      <c r="G342" s="25">
        <f t="shared" si="254"/>
        <v>1.7999999999999999E-2</v>
      </c>
      <c r="H342" s="25">
        <f t="shared" si="255"/>
        <v>4.6349999999999988E-2</v>
      </c>
      <c r="I342" s="25">
        <f t="shared" si="256"/>
        <v>0.14504999999999998</v>
      </c>
      <c r="J342" s="26">
        <f t="shared" si="257"/>
        <v>80</v>
      </c>
      <c r="K342" s="26">
        <f t="shared" si="258"/>
        <v>80</v>
      </c>
      <c r="L342" s="26">
        <f t="shared" si="259"/>
        <v>80</v>
      </c>
      <c r="M342" s="27">
        <f t="shared" ref="M342:M359" si="266">$D$334*J342</f>
        <v>9907.2000000000007</v>
      </c>
      <c r="N342" s="27">
        <f t="shared" ref="N342:N359" si="267">$D$335*K342*2</f>
        <v>5414.4000000000005</v>
      </c>
      <c r="O342" s="27">
        <f t="shared" ref="O342:O359" si="268">$D$336*L342*2</f>
        <v>5414.4000000000005</v>
      </c>
      <c r="P342" s="27">
        <f t="shared" si="260"/>
        <v>-2838.1500000000005</v>
      </c>
      <c r="Q342" s="27">
        <f t="shared" ref="Q342:Q359" si="269">SUM(M342:P342)</f>
        <v>17897.850000000002</v>
      </c>
      <c r="R342" s="27">
        <f t="shared" si="261"/>
        <v>-10225.223749999997</v>
      </c>
      <c r="S342" s="16">
        <f t="shared" si="262"/>
        <v>0.9</v>
      </c>
      <c r="T342" s="27">
        <f t="shared" si="263"/>
        <v>16108.065000000002</v>
      </c>
      <c r="U342" s="27">
        <f t="shared" si="264"/>
        <v>-9202.7013749999987</v>
      </c>
    </row>
    <row r="343" spans="1:21">
      <c r="B343" s="22">
        <v>0.1</v>
      </c>
      <c r="C343" s="23">
        <f t="shared" si="251"/>
        <v>4.2857142857142865</v>
      </c>
      <c r="D343" s="29">
        <f t="shared" si="265"/>
        <v>3.0395136778115506E-2</v>
      </c>
      <c r="E343" s="24">
        <f t="shared" si="252"/>
        <v>-6.9999999999999988E-4</v>
      </c>
      <c r="F343" s="17">
        <f t="shared" si="253"/>
        <v>9.5699999999999993E-2</v>
      </c>
      <c r="G343" s="25">
        <f t="shared" si="254"/>
        <v>7.499999999999998E-3</v>
      </c>
      <c r="H343" s="25">
        <f t="shared" si="255"/>
        <v>2.1674999999999996E-2</v>
      </c>
      <c r="I343" s="25">
        <f t="shared" si="256"/>
        <v>7.1024999999999991E-2</v>
      </c>
      <c r="J343" s="26">
        <f t="shared" si="257"/>
        <v>80</v>
      </c>
      <c r="K343" s="26">
        <f t="shared" si="258"/>
        <v>80</v>
      </c>
      <c r="L343" s="26">
        <f t="shared" si="259"/>
        <v>80</v>
      </c>
      <c r="M343" s="27">
        <f t="shared" si="266"/>
        <v>9907.2000000000007</v>
      </c>
      <c r="N343" s="27">
        <f t="shared" si="267"/>
        <v>5414.4000000000005</v>
      </c>
      <c r="O343" s="27">
        <f t="shared" si="268"/>
        <v>5414.4000000000005</v>
      </c>
      <c r="P343" s="27">
        <f t="shared" si="260"/>
        <v>-5676.3000000000011</v>
      </c>
      <c r="Q343" s="27">
        <f t="shared" si="269"/>
        <v>15059.700000000003</v>
      </c>
      <c r="R343" s="27">
        <f t="shared" si="261"/>
        <v>-20095.678749999999</v>
      </c>
      <c r="S343" s="16">
        <f t="shared" si="262"/>
        <v>0.9</v>
      </c>
      <c r="T343" s="27">
        <f t="shared" si="263"/>
        <v>13553.730000000003</v>
      </c>
      <c r="U343" s="27">
        <f t="shared" si="264"/>
        <v>-18086.110874999998</v>
      </c>
    </row>
    <row r="344" spans="1:21">
      <c r="B344" s="22">
        <v>0.15</v>
      </c>
      <c r="C344" s="23">
        <f t="shared" si="251"/>
        <v>6.4285714285714288</v>
      </c>
      <c r="D344" s="29">
        <f t="shared" si="265"/>
        <v>4.5592705167173252E-2</v>
      </c>
      <c r="E344" s="24">
        <f t="shared" si="252"/>
        <v>-4.6666666666666666E-4</v>
      </c>
      <c r="F344" s="17">
        <f t="shared" si="253"/>
        <v>6.2800000000000009E-2</v>
      </c>
      <c r="G344" s="25">
        <f t="shared" si="254"/>
        <v>4.0000000000000001E-3</v>
      </c>
      <c r="H344" s="25">
        <f t="shared" si="255"/>
        <v>1.3449999999999998E-2</v>
      </c>
      <c r="I344" s="25">
        <f t="shared" si="256"/>
        <v>4.6349999999999995E-2</v>
      </c>
      <c r="J344" s="26">
        <f t="shared" si="257"/>
        <v>80</v>
      </c>
      <c r="K344" s="26">
        <f t="shared" si="258"/>
        <v>80</v>
      </c>
      <c r="L344" s="26">
        <f t="shared" si="259"/>
        <v>80</v>
      </c>
      <c r="M344" s="27">
        <f t="shared" si="266"/>
        <v>9907.2000000000007</v>
      </c>
      <c r="N344" s="27">
        <f t="shared" si="267"/>
        <v>5414.4000000000005</v>
      </c>
      <c r="O344" s="27">
        <f t="shared" si="268"/>
        <v>5414.4000000000005</v>
      </c>
      <c r="P344" s="27">
        <f t="shared" si="260"/>
        <v>-8514.4500000000007</v>
      </c>
      <c r="Q344" s="27">
        <f t="shared" si="269"/>
        <v>12221.550000000003</v>
      </c>
      <c r="R344" s="27">
        <f t="shared" si="261"/>
        <v>-29611.365000000002</v>
      </c>
      <c r="S344" s="16">
        <f t="shared" si="262"/>
        <v>0.9</v>
      </c>
      <c r="T344" s="27">
        <f t="shared" si="263"/>
        <v>10999.395000000002</v>
      </c>
      <c r="U344" s="27">
        <f t="shared" si="264"/>
        <v>-26650.228500000001</v>
      </c>
    </row>
    <row r="345" spans="1:21">
      <c r="B345" s="22">
        <v>0.2</v>
      </c>
      <c r="C345" s="23">
        <f t="shared" si="251"/>
        <v>8.571428571428573</v>
      </c>
      <c r="D345" s="29">
        <f t="shared" si="265"/>
        <v>6.0790273556231011E-2</v>
      </c>
      <c r="E345" s="24">
        <f t="shared" si="252"/>
        <v>-3.4999999999999994E-4</v>
      </c>
      <c r="F345" s="17">
        <f t="shared" si="253"/>
        <v>4.6349999999999988E-2</v>
      </c>
      <c r="G345" s="25">
        <f t="shared" si="254"/>
        <v>2.249999999999999E-3</v>
      </c>
      <c r="H345" s="25">
        <f t="shared" si="255"/>
        <v>9.3374999999999986E-3</v>
      </c>
      <c r="I345" s="25">
        <f t="shared" si="256"/>
        <v>3.4012499999999994E-2</v>
      </c>
      <c r="J345" s="26">
        <f t="shared" si="257"/>
        <v>65.249999999999972</v>
      </c>
      <c r="K345" s="26">
        <f t="shared" si="258"/>
        <v>80</v>
      </c>
      <c r="L345" s="26">
        <f t="shared" si="259"/>
        <v>80</v>
      </c>
      <c r="M345" s="27">
        <f t="shared" si="266"/>
        <v>8080.5599999999968</v>
      </c>
      <c r="N345" s="27">
        <f t="shared" si="267"/>
        <v>5414.4000000000005</v>
      </c>
      <c r="O345" s="27">
        <f t="shared" si="268"/>
        <v>5414.4000000000005</v>
      </c>
      <c r="P345" s="27">
        <f t="shared" si="260"/>
        <v>-11352.600000000002</v>
      </c>
      <c r="Q345" s="27">
        <f t="shared" si="269"/>
        <v>7556.7599999999948</v>
      </c>
      <c r="R345" s="27">
        <f t="shared" si="261"/>
        <v>-43184.125500000016</v>
      </c>
      <c r="S345" s="16">
        <f t="shared" si="262"/>
        <v>0.9</v>
      </c>
      <c r="T345" s="27">
        <f t="shared" si="263"/>
        <v>6801.0839999999953</v>
      </c>
      <c r="U345" s="27">
        <f t="shared" si="264"/>
        <v>-38865.712950000016</v>
      </c>
    </row>
    <row r="346" spans="1:21">
      <c r="B346" s="22">
        <v>0.25</v>
      </c>
      <c r="C346" s="23">
        <f t="shared" si="251"/>
        <v>10.714285714285715</v>
      </c>
      <c r="D346" s="29">
        <f t="shared" si="265"/>
        <v>7.5987841945288764E-2</v>
      </c>
      <c r="E346" s="24">
        <f t="shared" si="252"/>
        <v>-2.7999999999999998E-4</v>
      </c>
      <c r="F346" s="17">
        <f t="shared" si="253"/>
        <v>3.6479999999999992E-2</v>
      </c>
      <c r="G346" s="25">
        <f t="shared" si="254"/>
        <v>1.1999999999999997E-3</v>
      </c>
      <c r="H346" s="25">
        <f t="shared" si="255"/>
        <v>6.8699999999999994E-3</v>
      </c>
      <c r="I346" s="25">
        <f t="shared" si="256"/>
        <v>2.6609999999999995E-2</v>
      </c>
      <c r="J346" s="26">
        <f t="shared" si="257"/>
        <v>34.79999999999999</v>
      </c>
      <c r="K346" s="26">
        <f t="shared" si="258"/>
        <v>80</v>
      </c>
      <c r="L346" s="26">
        <f t="shared" si="259"/>
        <v>80</v>
      </c>
      <c r="M346" s="27">
        <f t="shared" si="266"/>
        <v>4309.6319999999987</v>
      </c>
      <c r="N346" s="27">
        <f t="shared" si="267"/>
        <v>5414.4000000000005</v>
      </c>
      <c r="O346" s="27">
        <f t="shared" si="268"/>
        <v>5414.4000000000005</v>
      </c>
      <c r="P346" s="27">
        <f t="shared" si="260"/>
        <v>-14190.75</v>
      </c>
      <c r="Q346" s="27">
        <f t="shared" si="269"/>
        <v>947.6820000000007</v>
      </c>
      <c r="R346" s="27">
        <f t="shared" si="261"/>
        <v>-61098.112850000005</v>
      </c>
      <c r="S346" s="16">
        <f t="shared" si="262"/>
        <v>0.9</v>
      </c>
      <c r="T346" s="27">
        <f t="shared" si="263"/>
        <v>852.91380000000061</v>
      </c>
      <c r="U346" s="27">
        <f t="shared" si="264"/>
        <v>-54988.301565000009</v>
      </c>
    </row>
    <row r="347" spans="1:21">
      <c r="B347" s="22">
        <v>0.3</v>
      </c>
      <c r="C347" s="23">
        <f t="shared" si="251"/>
        <v>12.857142857142858</v>
      </c>
      <c r="D347" s="29">
        <f t="shared" si="265"/>
        <v>9.1185410334346503E-2</v>
      </c>
      <c r="E347" s="24">
        <f t="shared" si="252"/>
        <v>-2.3333333333333333E-4</v>
      </c>
      <c r="F347" s="17">
        <f t="shared" si="253"/>
        <v>2.9899999999999999E-2</v>
      </c>
      <c r="G347" s="25">
        <f t="shared" si="254"/>
        <v>4.999999999999999E-4</v>
      </c>
      <c r="H347" s="25">
        <f t="shared" si="255"/>
        <v>5.2249999999999996E-3</v>
      </c>
      <c r="I347" s="25">
        <f t="shared" si="256"/>
        <v>2.1675E-2</v>
      </c>
      <c r="J347" s="26">
        <f t="shared" si="257"/>
        <v>14.499999999999996</v>
      </c>
      <c r="K347" s="26">
        <f t="shared" si="258"/>
        <v>80</v>
      </c>
      <c r="L347" s="26">
        <f t="shared" si="259"/>
        <v>80</v>
      </c>
      <c r="M347" s="27">
        <f t="shared" si="266"/>
        <v>1795.6799999999996</v>
      </c>
      <c r="N347" s="27">
        <f t="shared" si="267"/>
        <v>5414.4000000000005</v>
      </c>
      <c r="O347" s="27">
        <f t="shared" si="268"/>
        <v>5414.4000000000005</v>
      </c>
      <c r="P347" s="27">
        <f t="shared" si="260"/>
        <v>-17028.900000000001</v>
      </c>
      <c r="Q347" s="27">
        <f t="shared" si="269"/>
        <v>-4404.4200000000019</v>
      </c>
      <c r="R347" s="27">
        <f t="shared" si="261"/>
        <v>-75621.385250000007</v>
      </c>
      <c r="S347" s="16">
        <f t="shared" si="262"/>
        <v>0.9</v>
      </c>
      <c r="T347" s="27">
        <f t="shared" si="263"/>
        <v>-3963.9780000000019</v>
      </c>
      <c r="U347" s="27">
        <f t="shared" si="264"/>
        <v>-68059.246725000005</v>
      </c>
    </row>
    <row r="348" spans="1:21">
      <c r="B348" s="22">
        <v>0.35</v>
      </c>
      <c r="C348" s="23">
        <f t="shared" si="251"/>
        <v>15</v>
      </c>
      <c r="D348" s="29">
        <f t="shared" si="265"/>
        <v>0.10638297872340426</v>
      </c>
      <c r="E348" s="24">
        <f t="shared" si="252"/>
        <v>-2.0000000000000001E-4</v>
      </c>
      <c r="F348" s="17">
        <f t="shared" si="253"/>
        <v>2.52E-2</v>
      </c>
      <c r="G348" s="25">
        <f t="shared" si="254"/>
        <v>0</v>
      </c>
      <c r="H348" s="25">
        <f t="shared" si="255"/>
        <v>4.0499999999999998E-3</v>
      </c>
      <c r="I348" s="25">
        <f t="shared" si="256"/>
        <v>1.8149999999999999E-2</v>
      </c>
      <c r="J348" s="26">
        <f t="shared" si="257"/>
        <v>0</v>
      </c>
      <c r="K348" s="26">
        <f t="shared" si="258"/>
        <v>80</v>
      </c>
      <c r="L348" s="26">
        <f t="shared" si="259"/>
        <v>80</v>
      </c>
      <c r="M348" s="27">
        <f t="shared" si="266"/>
        <v>0</v>
      </c>
      <c r="N348" s="27">
        <f t="shared" si="267"/>
        <v>5414.4000000000005</v>
      </c>
      <c r="O348" s="27">
        <f t="shared" si="268"/>
        <v>5414.4000000000005</v>
      </c>
      <c r="P348" s="27">
        <f t="shared" si="260"/>
        <v>-19867.05</v>
      </c>
      <c r="Q348" s="27">
        <f t="shared" si="269"/>
        <v>-9038.2499999999982</v>
      </c>
      <c r="R348" s="27">
        <f t="shared" si="261"/>
        <v>-88055.0625</v>
      </c>
      <c r="S348" s="16">
        <f t="shared" si="262"/>
        <v>0.9</v>
      </c>
      <c r="T348" s="27">
        <f t="shared" si="263"/>
        <v>-8134.4249999999984</v>
      </c>
      <c r="U348" s="27">
        <f t="shared" si="264"/>
        <v>-79249.556250000009</v>
      </c>
    </row>
    <row r="349" spans="1:21">
      <c r="B349" s="22">
        <v>0.4</v>
      </c>
      <c r="C349" s="23">
        <f t="shared" si="251"/>
        <v>17.142857142857146</v>
      </c>
      <c r="D349" s="29">
        <f t="shared" si="265"/>
        <v>0.12158054711246202</v>
      </c>
      <c r="E349" s="24">
        <f t="shared" si="252"/>
        <v>-1.7499999999999997E-4</v>
      </c>
      <c r="F349" s="17">
        <f t="shared" si="253"/>
        <v>2.1674999999999996E-2</v>
      </c>
      <c r="G349" s="25">
        <f t="shared" si="254"/>
        <v>-3.750000000000005E-4</v>
      </c>
      <c r="H349" s="25">
        <f t="shared" si="255"/>
        <v>3.1687499999999988E-3</v>
      </c>
      <c r="I349" s="25">
        <f t="shared" si="256"/>
        <v>1.5506249999999997E-2</v>
      </c>
      <c r="J349" s="26">
        <f t="shared" si="257"/>
        <v>-10.875000000000014</v>
      </c>
      <c r="K349" s="26">
        <f t="shared" si="258"/>
        <v>80</v>
      </c>
      <c r="L349" s="26">
        <f t="shared" si="259"/>
        <v>80</v>
      </c>
      <c r="M349" s="27">
        <f t="shared" si="266"/>
        <v>-1346.7600000000018</v>
      </c>
      <c r="N349" s="27">
        <f t="shared" si="267"/>
        <v>5414.4000000000005</v>
      </c>
      <c r="O349" s="27">
        <f t="shared" si="268"/>
        <v>5414.4000000000005</v>
      </c>
      <c r="P349" s="27">
        <f t="shared" si="260"/>
        <v>-22705.200000000004</v>
      </c>
      <c r="Q349" s="27">
        <f t="shared" si="269"/>
        <v>-13223.160000000005</v>
      </c>
      <c r="R349" s="27">
        <f t="shared" si="261"/>
        <v>-99049.704500000007</v>
      </c>
      <c r="S349" s="16">
        <f t="shared" si="262"/>
        <v>0.9</v>
      </c>
      <c r="T349" s="27">
        <f t="shared" si="263"/>
        <v>-11900.844000000005</v>
      </c>
      <c r="U349" s="27">
        <f t="shared" si="264"/>
        <v>-89144.734050000014</v>
      </c>
    </row>
    <row r="350" spans="1:21">
      <c r="B350" s="22">
        <v>0.45</v>
      </c>
      <c r="C350" s="23">
        <f t="shared" si="251"/>
        <v>19.285714285714288</v>
      </c>
      <c r="D350" s="29">
        <f t="shared" si="265"/>
        <v>0.13677811550151978</v>
      </c>
      <c r="E350" s="24">
        <f t="shared" si="252"/>
        <v>-1.5555555555555554E-4</v>
      </c>
      <c r="F350" s="17">
        <f t="shared" si="253"/>
        <v>1.893333333333333E-2</v>
      </c>
      <c r="G350" s="25">
        <f t="shared" si="254"/>
        <v>-6.6666666666666697E-4</v>
      </c>
      <c r="H350" s="25">
        <f t="shared" si="255"/>
        <v>2.4833333333333326E-3</v>
      </c>
      <c r="I350" s="25">
        <f t="shared" si="256"/>
        <v>1.3449999999999997E-2</v>
      </c>
      <c r="J350" s="26">
        <f t="shared" si="257"/>
        <v>-19.333333333333343</v>
      </c>
      <c r="K350" s="26">
        <f t="shared" si="258"/>
        <v>72.016666666666652</v>
      </c>
      <c r="L350" s="26">
        <f t="shared" si="259"/>
        <v>80</v>
      </c>
      <c r="M350" s="27">
        <f t="shared" si="266"/>
        <v>-2394.2400000000011</v>
      </c>
      <c r="N350" s="27">
        <f t="shared" si="267"/>
        <v>4874.0879999999997</v>
      </c>
      <c r="O350" s="27">
        <f t="shared" si="268"/>
        <v>5414.4000000000005</v>
      </c>
      <c r="P350" s="27">
        <f t="shared" si="260"/>
        <v>-25543.350000000006</v>
      </c>
      <c r="Q350" s="27">
        <f t="shared" si="269"/>
        <v>-17649.102000000006</v>
      </c>
      <c r="R350" s="27">
        <f t="shared" si="261"/>
        <v>-109359.96048333334</v>
      </c>
      <c r="S350" s="16">
        <f t="shared" si="262"/>
        <v>0.9</v>
      </c>
      <c r="T350" s="27">
        <f t="shared" si="263"/>
        <v>-15884.191800000006</v>
      </c>
      <c r="U350" s="27">
        <f t="shared" si="264"/>
        <v>-98423.964435000016</v>
      </c>
    </row>
    <row r="351" spans="1:21">
      <c r="B351" s="22">
        <v>0.5</v>
      </c>
      <c r="C351" s="23">
        <f t="shared" si="251"/>
        <v>21.428571428571431</v>
      </c>
      <c r="D351" s="29">
        <f t="shared" si="265"/>
        <v>0.15197568389057753</v>
      </c>
      <c r="E351" s="24">
        <f t="shared" si="252"/>
        <v>-1.3999999999999999E-4</v>
      </c>
      <c r="F351" s="17">
        <f t="shared" si="253"/>
        <v>1.6739999999999998E-2</v>
      </c>
      <c r="G351" s="25">
        <f t="shared" si="254"/>
        <v>-9.0000000000000019E-4</v>
      </c>
      <c r="H351" s="25">
        <f t="shared" si="255"/>
        <v>1.9349999999999997E-3</v>
      </c>
      <c r="I351" s="25">
        <f t="shared" si="256"/>
        <v>1.1805E-2</v>
      </c>
      <c r="J351" s="26">
        <f t="shared" si="257"/>
        <v>-26.100000000000005</v>
      </c>
      <c r="K351" s="26">
        <f t="shared" si="258"/>
        <v>56.114999999999988</v>
      </c>
      <c r="L351" s="26">
        <f t="shared" si="259"/>
        <v>80</v>
      </c>
      <c r="M351" s="27">
        <f t="shared" si="266"/>
        <v>-3232.2240000000006</v>
      </c>
      <c r="N351" s="27">
        <f t="shared" si="267"/>
        <v>3797.8631999999998</v>
      </c>
      <c r="O351" s="27">
        <f t="shared" si="268"/>
        <v>5414.4000000000005</v>
      </c>
      <c r="P351" s="27">
        <f t="shared" si="260"/>
        <v>-28381.5</v>
      </c>
      <c r="Q351" s="27">
        <f t="shared" si="269"/>
        <v>-22401.460800000001</v>
      </c>
      <c r="R351" s="27">
        <f t="shared" si="261"/>
        <v>-119199.48211</v>
      </c>
      <c r="S351" s="16">
        <f t="shared" si="262"/>
        <v>0.9</v>
      </c>
      <c r="T351" s="27">
        <f t="shared" si="263"/>
        <v>-20161.314720000002</v>
      </c>
      <c r="U351" s="27">
        <f t="shared" si="264"/>
        <v>-107279.533899</v>
      </c>
    </row>
    <row r="352" spans="1:21">
      <c r="B352" s="22">
        <v>0.55000000000000004</v>
      </c>
      <c r="C352" s="23">
        <f t="shared" si="251"/>
        <v>23.571428571428573</v>
      </c>
      <c r="D352" s="29">
        <f t="shared" si="265"/>
        <v>0.16717325227963528</v>
      </c>
      <c r="E352" s="24">
        <f t="shared" si="252"/>
        <v>-1.2727272727272725E-4</v>
      </c>
      <c r="F352" s="17">
        <f t="shared" si="253"/>
        <v>1.4945454545454543E-2</v>
      </c>
      <c r="G352" s="25">
        <f t="shared" si="254"/>
        <v>-1.090909090909091E-3</v>
      </c>
      <c r="H352" s="25">
        <f t="shared" si="255"/>
        <v>1.4863636363636359E-3</v>
      </c>
      <c r="I352" s="25">
        <f t="shared" si="256"/>
        <v>1.0459090909090907E-2</v>
      </c>
      <c r="J352" s="26">
        <f t="shared" si="257"/>
        <v>-31.636363636363637</v>
      </c>
      <c r="K352" s="26">
        <f t="shared" si="258"/>
        <v>43.104545454545445</v>
      </c>
      <c r="L352" s="26">
        <f t="shared" si="259"/>
        <v>80</v>
      </c>
      <c r="M352" s="27">
        <f t="shared" si="266"/>
        <v>-3917.8472727272729</v>
      </c>
      <c r="N352" s="27">
        <f t="shared" si="267"/>
        <v>2917.3156363636358</v>
      </c>
      <c r="O352" s="27">
        <f t="shared" si="268"/>
        <v>5414.4000000000005</v>
      </c>
      <c r="P352" s="27">
        <f t="shared" si="260"/>
        <v>-31219.65</v>
      </c>
      <c r="Q352" s="27">
        <f t="shared" si="269"/>
        <v>-26805.781636363638</v>
      </c>
      <c r="R352" s="27">
        <f t="shared" si="261"/>
        <v>-128173.83196363637</v>
      </c>
      <c r="S352" s="16">
        <f t="shared" si="262"/>
        <v>0.9</v>
      </c>
      <c r="T352" s="27">
        <f t="shared" si="263"/>
        <v>-24125.203472727273</v>
      </c>
      <c r="U352" s="27">
        <f t="shared" si="264"/>
        <v>-115356.44876727274</v>
      </c>
    </row>
    <row r="353" spans="1:21">
      <c r="B353" s="22">
        <v>0.6</v>
      </c>
      <c r="C353" s="23">
        <f t="shared" si="251"/>
        <v>25.714285714285715</v>
      </c>
      <c r="D353" s="29">
        <f t="shared" si="265"/>
        <v>0.18237082066869301</v>
      </c>
      <c r="E353" s="24">
        <f t="shared" si="252"/>
        <v>-1.1666666666666667E-4</v>
      </c>
      <c r="F353" s="17">
        <f t="shared" si="253"/>
        <v>1.3449999999999998E-2</v>
      </c>
      <c r="G353" s="25">
        <f t="shared" si="254"/>
        <v>-1.25E-3</v>
      </c>
      <c r="H353" s="25">
        <f t="shared" si="255"/>
        <v>1.1124999999999998E-3</v>
      </c>
      <c r="I353" s="25">
        <f t="shared" si="256"/>
        <v>9.3374999999999986E-3</v>
      </c>
      <c r="J353" s="26">
        <f t="shared" si="257"/>
        <v>-36.25</v>
      </c>
      <c r="K353" s="26">
        <f t="shared" si="258"/>
        <v>32.262499999999996</v>
      </c>
      <c r="L353" s="26">
        <f t="shared" si="259"/>
        <v>80</v>
      </c>
      <c r="M353" s="27">
        <f t="shared" si="266"/>
        <v>-4489.2</v>
      </c>
      <c r="N353" s="27">
        <f t="shared" si="267"/>
        <v>2183.5259999999998</v>
      </c>
      <c r="O353" s="27">
        <f t="shared" si="268"/>
        <v>5414.4000000000005</v>
      </c>
      <c r="P353" s="27">
        <f t="shared" si="260"/>
        <v>-34057.800000000003</v>
      </c>
      <c r="Q353" s="27">
        <f t="shared" si="269"/>
        <v>-30949.074000000001</v>
      </c>
      <c r="R353" s="27">
        <f t="shared" si="261"/>
        <v>-136410.61079999999</v>
      </c>
      <c r="S353" s="16">
        <f t="shared" si="262"/>
        <v>0.9</v>
      </c>
      <c r="T353" s="27">
        <f t="shared" si="263"/>
        <v>-27854.1666</v>
      </c>
      <c r="U353" s="27">
        <f t="shared" si="264"/>
        <v>-122769.54972</v>
      </c>
    </row>
    <row r="354" spans="1:21">
      <c r="B354" s="22">
        <v>0.65</v>
      </c>
      <c r="C354" s="23">
        <f t="shared" si="251"/>
        <v>27.857142857142861</v>
      </c>
      <c r="D354" s="29">
        <f t="shared" si="265"/>
        <v>0.19756838905775079</v>
      </c>
      <c r="E354" s="24">
        <f t="shared" si="252"/>
        <v>-1.0769230769230768E-4</v>
      </c>
      <c r="F354" s="17">
        <f t="shared" si="253"/>
        <v>1.2184615384615382E-2</v>
      </c>
      <c r="G354" s="25">
        <f t="shared" si="254"/>
        <v>-1.384615384615385E-3</v>
      </c>
      <c r="H354" s="25">
        <f t="shared" si="255"/>
        <v>7.9615384615384563E-4</v>
      </c>
      <c r="I354" s="25">
        <f t="shared" si="256"/>
        <v>8.3884615384615373E-3</v>
      </c>
      <c r="J354" s="26">
        <f t="shared" si="257"/>
        <v>-40.15384615384616</v>
      </c>
      <c r="K354" s="26">
        <f t="shared" si="258"/>
        <v>23.088461538461523</v>
      </c>
      <c r="L354" s="26">
        <f t="shared" si="259"/>
        <v>80</v>
      </c>
      <c r="M354" s="27">
        <f t="shared" si="266"/>
        <v>-4972.6523076923086</v>
      </c>
      <c r="N354" s="27">
        <f t="shared" si="267"/>
        <v>1562.6270769230759</v>
      </c>
      <c r="O354" s="27">
        <f t="shared" si="268"/>
        <v>5414.4000000000005</v>
      </c>
      <c r="P354" s="27">
        <f t="shared" si="260"/>
        <v>-36895.950000000004</v>
      </c>
      <c r="Q354" s="27">
        <f t="shared" si="269"/>
        <v>-34891.575230769238</v>
      </c>
      <c r="R354" s="27">
        <f t="shared" si="261"/>
        <v>-143998.15760384616</v>
      </c>
      <c r="S354" s="16">
        <f t="shared" si="262"/>
        <v>0.9</v>
      </c>
      <c r="T354" s="27">
        <f t="shared" si="263"/>
        <v>-31402.417707692315</v>
      </c>
      <c r="U354" s="27">
        <f t="shared" si="264"/>
        <v>-129598.34184346155</v>
      </c>
    </row>
    <row r="355" spans="1:21">
      <c r="B355" s="22">
        <v>0.7</v>
      </c>
      <c r="C355" s="23">
        <f t="shared" si="251"/>
        <v>30</v>
      </c>
      <c r="D355" s="29">
        <f t="shared" si="265"/>
        <v>0.21276595744680851</v>
      </c>
      <c r="E355" s="24">
        <f t="shared" si="252"/>
        <v>-1E-4</v>
      </c>
      <c r="F355" s="17">
        <f t="shared" si="253"/>
        <v>1.11E-2</v>
      </c>
      <c r="G355" s="25">
        <f t="shared" si="254"/>
        <v>-1.5E-3</v>
      </c>
      <c r="H355" s="25">
        <f t="shared" si="255"/>
        <v>5.2500000000000008E-4</v>
      </c>
      <c r="I355" s="25">
        <f t="shared" si="256"/>
        <v>7.5750000000000001E-3</v>
      </c>
      <c r="J355" s="26">
        <f t="shared" si="257"/>
        <v>-43.5</v>
      </c>
      <c r="K355" s="26">
        <f t="shared" si="258"/>
        <v>15.225000000000001</v>
      </c>
      <c r="L355" s="26">
        <f t="shared" si="259"/>
        <v>80</v>
      </c>
      <c r="M355" s="27">
        <f t="shared" si="266"/>
        <v>-5387.04</v>
      </c>
      <c r="N355" s="27">
        <f t="shared" si="267"/>
        <v>1030.4280000000001</v>
      </c>
      <c r="O355" s="27">
        <f t="shared" si="268"/>
        <v>5414.4000000000005</v>
      </c>
      <c r="P355" s="27">
        <f t="shared" si="260"/>
        <v>-39734.1</v>
      </c>
      <c r="Q355" s="27">
        <f t="shared" si="269"/>
        <v>-38676.311999999998</v>
      </c>
      <c r="R355" s="27">
        <f t="shared" si="261"/>
        <v>-150999.57165</v>
      </c>
      <c r="S355" s="16">
        <f t="shared" si="262"/>
        <v>0.9</v>
      </c>
      <c r="T355" s="27">
        <f t="shared" si="263"/>
        <v>-34808.680800000002</v>
      </c>
      <c r="U355" s="27">
        <f t="shared" si="264"/>
        <v>-135899.614485</v>
      </c>
    </row>
    <row r="356" spans="1:21">
      <c r="B356" s="22">
        <v>0.75</v>
      </c>
      <c r="C356" s="23">
        <f t="shared" si="251"/>
        <v>32.142857142857139</v>
      </c>
      <c r="D356" s="29">
        <f t="shared" si="265"/>
        <v>0.22796352583586624</v>
      </c>
      <c r="E356" s="24">
        <f t="shared" si="252"/>
        <v>-9.3333333333333343E-5</v>
      </c>
      <c r="F356" s="17">
        <f t="shared" si="253"/>
        <v>1.0160000000000001E-2</v>
      </c>
      <c r="G356" s="25">
        <f t="shared" si="254"/>
        <v>-1.5999999999999999E-3</v>
      </c>
      <c r="H356" s="25">
        <f t="shared" si="255"/>
        <v>2.9000000000000044E-4</v>
      </c>
      <c r="I356" s="25">
        <f t="shared" si="256"/>
        <v>6.8700000000000011E-3</v>
      </c>
      <c r="J356" s="26">
        <f t="shared" si="257"/>
        <v>-46.4</v>
      </c>
      <c r="K356" s="26">
        <f t="shared" si="258"/>
        <v>8.4100000000000126</v>
      </c>
      <c r="L356" s="26">
        <f t="shared" si="259"/>
        <v>80</v>
      </c>
      <c r="M356" s="27">
        <f t="shared" si="266"/>
        <v>-5746.1760000000004</v>
      </c>
      <c r="N356" s="27">
        <f t="shared" si="267"/>
        <v>569.18880000000092</v>
      </c>
      <c r="O356" s="27">
        <f t="shared" si="268"/>
        <v>5414.4000000000005</v>
      </c>
      <c r="P356" s="27">
        <f t="shared" si="260"/>
        <v>-42572.249999999993</v>
      </c>
      <c r="Q356" s="27">
        <f t="shared" si="269"/>
        <v>-42334.837199999994</v>
      </c>
      <c r="R356" s="27">
        <f t="shared" si="261"/>
        <v>-157461.12573999999</v>
      </c>
      <c r="S356" s="16">
        <f t="shared" si="262"/>
        <v>0.9</v>
      </c>
      <c r="T356" s="27">
        <f t="shared" si="263"/>
        <v>-38101.353479999998</v>
      </c>
      <c r="U356" s="27">
        <f t="shared" si="264"/>
        <v>-141715.01316599999</v>
      </c>
    </row>
    <row r="357" spans="1:21">
      <c r="B357" s="22">
        <v>0.8</v>
      </c>
      <c r="C357" s="23">
        <f t="shared" si="251"/>
        <v>34.285714285714292</v>
      </c>
      <c r="D357" s="29">
        <f t="shared" si="265"/>
        <v>0.24316109422492405</v>
      </c>
      <c r="E357" s="24">
        <f t="shared" si="252"/>
        <v>-8.7499999999999986E-5</v>
      </c>
      <c r="F357" s="17">
        <f t="shared" si="253"/>
        <v>9.3374999999999986E-3</v>
      </c>
      <c r="G357" s="25">
        <f t="shared" si="254"/>
        <v>-1.6875000000000002E-3</v>
      </c>
      <c r="H357" s="25">
        <f t="shared" si="255"/>
        <v>8.4374999999999449E-5</v>
      </c>
      <c r="I357" s="25">
        <f t="shared" si="256"/>
        <v>6.2531249999999983E-3</v>
      </c>
      <c r="J357" s="26">
        <f t="shared" si="257"/>
        <v>-48.937500000000007</v>
      </c>
      <c r="K357" s="26">
        <f t="shared" si="258"/>
        <v>2.4468749999999839</v>
      </c>
      <c r="L357" s="26">
        <f t="shared" si="259"/>
        <v>80</v>
      </c>
      <c r="M357" s="27">
        <f t="shared" si="266"/>
        <v>-6060.420000000001</v>
      </c>
      <c r="N357" s="27">
        <f t="shared" si="267"/>
        <v>165.60449999999892</v>
      </c>
      <c r="O357" s="27">
        <f t="shared" si="268"/>
        <v>5414.4000000000005</v>
      </c>
      <c r="P357" s="27">
        <f t="shared" si="260"/>
        <v>-45410.400000000009</v>
      </c>
      <c r="Q357" s="27">
        <f t="shared" si="269"/>
        <v>-45890.815500000012</v>
      </c>
      <c r="R357" s="27">
        <f t="shared" si="261"/>
        <v>-163417.52447500001</v>
      </c>
      <c r="S357" s="16">
        <f t="shared" si="262"/>
        <v>0.9</v>
      </c>
      <c r="T357" s="27">
        <f t="shared" si="263"/>
        <v>-41301.733950000009</v>
      </c>
      <c r="U357" s="27">
        <f t="shared" si="264"/>
        <v>-147075.7720275</v>
      </c>
    </row>
    <row r="358" spans="1:21">
      <c r="B358" s="22">
        <v>0.85</v>
      </c>
      <c r="C358" s="23">
        <f t="shared" si="251"/>
        <v>36.428571428571431</v>
      </c>
      <c r="D358" s="29">
        <f t="shared" si="265"/>
        <v>0.25835866261398177</v>
      </c>
      <c r="E358" s="24">
        <f t="shared" si="252"/>
        <v>-8.2352941176470581E-5</v>
      </c>
      <c r="F358" s="17">
        <f t="shared" si="253"/>
        <v>8.6117647058823518E-3</v>
      </c>
      <c r="G358" s="25">
        <f t="shared" si="254"/>
        <v>-1.7647058823529412E-3</v>
      </c>
      <c r="H358" s="25">
        <f t="shared" si="255"/>
        <v>-9.7058823529411919E-5</v>
      </c>
      <c r="I358" s="25">
        <f t="shared" si="256"/>
        <v>5.7088235294117644E-3</v>
      </c>
      <c r="J358" s="26">
        <f t="shared" si="257"/>
        <v>-51.176470588235297</v>
      </c>
      <c r="K358" s="26">
        <f t="shared" si="258"/>
        <v>-2.8147058823529458</v>
      </c>
      <c r="L358" s="26">
        <f t="shared" si="259"/>
        <v>80</v>
      </c>
      <c r="M358" s="27">
        <f t="shared" si="266"/>
        <v>-6337.6941176470591</v>
      </c>
      <c r="N358" s="27">
        <f t="shared" si="267"/>
        <v>-190.49929411764739</v>
      </c>
      <c r="O358" s="27">
        <f t="shared" si="268"/>
        <v>5414.4000000000005</v>
      </c>
      <c r="P358" s="27">
        <f t="shared" si="260"/>
        <v>-48248.55</v>
      </c>
      <c r="Q358" s="27">
        <f t="shared" si="269"/>
        <v>-49362.343411764712</v>
      </c>
      <c r="R358" s="27">
        <f t="shared" si="261"/>
        <v>-168895.30666764706</v>
      </c>
      <c r="S358" s="16">
        <f t="shared" si="262"/>
        <v>0.9</v>
      </c>
      <c r="T358" s="27">
        <f t="shared" si="263"/>
        <v>-44426.109070588245</v>
      </c>
      <c r="U358" s="27">
        <f t="shared" si="264"/>
        <v>-152005.77600088235</v>
      </c>
    </row>
    <row r="359" spans="1:21">
      <c r="B359" s="22">
        <v>0.9</v>
      </c>
      <c r="C359" s="23">
        <f t="shared" si="251"/>
        <v>38.571428571428577</v>
      </c>
      <c r="D359" s="29">
        <f>C359/$D$10</f>
        <v>0.27355623100303955</v>
      </c>
      <c r="E359" s="24">
        <f t="shared" si="252"/>
        <v>-7.7777777777777768E-5</v>
      </c>
      <c r="F359" s="17">
        <f t="shared" si="253"/>
        <v>7.9666666666666653E-3</v>
      </c>
      <c r="G359" s="25">
        <f t="shared" si="254"/>
        <v>-1.8333333333333335E-3</v>
      </c>
      <c r="H359" s="25">
        <f t="shared" si="255"/>
        <v>-2.5833333333333372E-4</v>
      </c>
      <c r="I359" s="25">
        <f t="shared" si="256"/>
        <v>5.2249999999999987E-3</v>
      </c>
      <c r="J359" s="26">
        <f t="shared" si="257"/>
        <v>-53.166666666666671</v>
      </c>
      <c r="K359" s="26">
        <f t="shared" si="258"/>
        <v>-7.4916666666666778</v>
      </c>
      <c r="L359" s="26">
        <f t="shared" si="259"/>
        <v>80</v>
      </c>
      <c r="M359" s="27">
        <f t="shared" si="266"/>
        <v>-6584.1600000000008</v>
      </c>
      <c r="N359" s="27">
        <f t="shared" si="267"/>
        <v>-507.0360000000008</v>
      </c>
      <c r="O359" s="27">
        <f t="shared" si="268"/>
        <v>5414.4000000000005</v>
      </c>
      <c r="P359" s="27">
        <f t="shared" si="260"/>
        <v>-51086.700000000012</v>
      </c>
      <c r="Q359" s="27">
        <f t="shared" si="269"/>
        <v>-52763.496000000014</v>
      </c>
      <c r="R359" s="27">
        <f t="shared" si="261"/>
        <v>-173915.11361666673</v>
      </c>
      <c r="S359" s="16">
        <f t="shared" si="262"/>
        <v>0.9</v>
      </c>
      <c r="T359" s="27">
        <f t="shared" si="263"/>
        <v>-47487.146400000012</v>
      </c>
      <c r="U359" s="27">
        <f t="shared" si="264"/>
        <v>-156523.60225500006</v>
      </c>
    </row>
    <row r="361" spans="1:21">
      <c r="B361" s="18" t="s">
        <v>43</v>
      </c>
      <c r="C361" s="18" t="s">
        <v>37</v>
      </c>
      <c r="D361" s="18" t="s">
        <v>47</v>
      </c>
      <c r="E361" s="19" t="s">
        <v>19</v>
      </c>
      <c r="F361" s="19" t="s">
        <v>20</v>
      </c>
      <c r="G361" s="19" t="s">
        <v>21</v>
      </c>
      <c r="H361" s="19" t="s">
        <v>22</v>
      </c>
      <c r="I361" s="19" t="s">
        <v>23</v>
      </c>
      <c r="J361" s="19" t="s">
        <v>24</v>
      </c>
      <c r="K361" s="19" t="s">
        <v>25</v>
      </c>
      <c r="L361" s="19" t="s">
        <v>26</v>
      </c>
      <c r="M361" s="19" t="s">
        <v>27</v>
      </c>
      <c r="N361" s="19" t="s">
        <v>28</v>
      </c>
      <c r="O361" s="19" t="s">
        <v>29</v>
      </c>
      <c r="P361" s="19" t="s">
        <v>30</v>
      </c>
      <c r="Q361" s="19" t="s">
        <v>31</v>
      </c>
      <c r="R361" s="19" t="s">
        <v>32</v>
      </c>
      <c r="S361" s="19" t="s">
        <v>33</v>
      </c>
      <c r="T361" s="19"/>
      <c r="U361" s="19"/>
    </row>
    <row r="362" spans="1:21">
      <c r="C362" s="21" t="s">
        <v>14</v>
      </c>
      <c r="D362" s="21"/>
      <c r="E362" s="21" t="s">
        <v>39</v>
      </c>
      <c r="F362" s="20"/>
      <c r="G362" s="20"/>
      <c r="H362" s="20"/>
      <c r="I362" s="20"/>
      <c r="J362" s="21" t="s">
        <v>13</v>
      </c>
      <c r="K362" s="21" t="s">
        <v>13</v>
      </c>
      <c r="L362" s="21" t="s">
        <v>13</v>
      </c>
      <c r="M362" s="21" t="s">
        <v>41</v>
      </c>
      <c r="N362" s="21" t="s">
        <v>41</v>
      </c>
      <c r="O362" s="21" t="s">
        <v>41</v>
      </c>
      <c r="P362" s="21" t="s">
        <v>41</v>
      </c>
      <c r="Q362" s="21" t="s">
        <v>41</v>
      </c>
      <c r="R362" s="21" t="s">
        <v>42</v>
      </c>
      <c r="S362" s="21"/>
      <c r="T362" s="21"/>
      <c r="U362" s="21"/>
    </row>
    <row r="363" spans="1:21">
      <c r="A363" s="15" t="s">
        <v>44</v>
      </c>
      <c r="B363" s="22"/>
      <c r="C363" s="23"/>
      <c r="D363" s="23"/>
      <c r="E363" s="24"/>
      <c r="F363" s="17"/>
      <c r="G363" s="25"/>
      <c r="H363" s="25"/>
      <c r="I363" s="25"/>
      <c r="J363" s="26"/>
      <c r="K363" s="26"/>
      <c r="L363" s="26"/>
      <c r="M363" s="27"/>
      <c r="N363" s="27"/>
      <c r="O363" s="27"/>
      <c r="P363" s="27"/>
      <c r="Q363" s="27"/>
      <c r="R363" s="27"/>
      <c r="S363" s="16"/>
      <c r="T363" s="27"/>
      <c r="U363" s="27"/>
    </row>
    <row r="364" spans="1:21">
      <c r="B364" s="22">
        <v>1.0000000000000001E-5</v>
      </c>
      <c r="C364" s="30">
        <f>B364/$D$15*($D$10-$D$13)</f>
        <v>1.5857142857142858E-3</v>
      </c>
      <c r="D364" s="29">
        <f>C364/$D$10</f>
        <v>1.1246200607902737E-5</v>
      </c>
      <c r="E364" s="24">
        <f>-0.003/C364</f>
        <v>-1.8918918918918919</v>
      </c>
      <c r="F364" s="17">
        <f>E364*(C364-$D$10)</f>
        <v>266.75375675675679</v>
      </c>
      <c r="G364" s="25">
        <f>E364*(C364-$D$10+$D$20)</f>
        <v>238.37537837837837</v>
      </c>
      <c r="H364" s="25">
        <f>E364*(C364-$D$10+$D$21)</f>
        <v>200.06456756756756</v>
      </c>
      <c r="I364" s="25">
        <f>E364*(C364-$D$10+$D$22)</f>
        <v>66.686189189189193</v>
      </c>
      <c r="J364" s="26">
        <f>SIGN(G364)*MIN($D$8*ABS(G364),$D$7)</f>
        <v>80</v>
      </c>
      <c r="K364" s="26">
        <f>SIGN(H364)*MIN($D$8*ABS(H364),$D$7)</f>
        <v>80</v>
      </c>
      <c r="L364" s="26">
        <f>SIGN(I364)*MIN($D$8*ABS(I364),$D$7)</f>
        <v>80</v>
      </c>
      <c r="M364" s="27">
        <f>J364*$D$334</f>
        <v>9907.2000000000007</v>
      </c>
      <c r="N364" s="27">
        <f>K364*$D$335*2</f>
        <v>5414.4000000000005</v>
      </c>
      <c r="O364" s="27">
        <f>L364*$D$336*2</f>
        <v>5414.4000000000005</v>
      </c>
      <c r="P364" s="9">
        <f>$D$15*C364*2*$D$12*(-0.85*$D$6)</f>
        <v>-0.39626999999999996</v>
      </c>
      <c r="Q364" s="27">
        <f>SUM(M364:P364)</f>
        <v>20735.603730000003</v>
      </c>
      <c r="R364" s="27">
        <f>(P364*(-$D$10+$D$18+$D$15*C364/2)+M364*($D$18-$D$20)+N364*($D$18-$D$21)+O364*($D$18-$D$22))/12</f>
        <v>3.2037145475187572</v>
      </c>
      <c r="S364" s="16">
        <f>MAX(0.65,MIN(0.9,0.65+(F364-0.002)*250/3))</f>
        <v>0.9</v>
      </c>
      <c r="T364" s="27">
        <f>Q364*S364</f>
        <v>18662.043357000002</v>
      </c>
      <c r="U364" s="27">
        <f>R364*S364</f>
        <v>2.8833430927668817</v>
      </c>
    </row>
    <row r="365" spans="1:21">
      <c r="B365" s="22">
        <v>0.05</v>
      </c>
      <c r="C365" s="26">
        <f t="shared" ref="C365:C382" si="270">B365/$D$15*($D$10-$D$13)</f>
        <v>7.9285714285714297</v>
      </c>
      <c r="D365" s="31">
        <f t="shared" ref="D365:D382" si="271">C365/$D$10</f>
        <v>5.6231003039513686E-2</v>
      </c>
      <c r="E365" s="24">
        <f t="shared" ref="E365:E382" si="272">-0.003/C365</f>
        <v>-3.7837837837837834E-4</v>
      </c>
      <c r="F365" s="17">
        <f t="shared" ref="F365:F382" si="273">E365*(C365-$D$10)</f>
        <v>5.0351351351351353E-2</v>
      </c>
      <c r="G365" s="25">
        <f t="shared" ref="G365:G382" si="274">E365*(C365-$D$10+$D$20)</f>
        <v>4.4675675675675673E-2</v>
      </c>
      <c r="H365" s="25">
        <f t="shared" ref="H365:H382" si="275">E365*(C365-$D$10+$D$21)</f>
        <v>3.7013513513513514E-2</v>
      </c>
      <c r="I365" s="25">
        <f t="shared" ref="I365:I382" si="276">E365*(C365-$D$10+$D$22)</f>
        <v>1.0337837837837842E-2</v>
      </c>
      <c r="J365" s="26">
        <f t="shared" ref="J365:J382" si="277">SIGN(G365)*MIN($D$8*ABS(G365),$D$7)</f>
        <v>80</v>
      </c>
      <c r="K365" s="26">
        <f t="shared" ref="K365:K382" si="278">SIGN(H365)*MIN($D$8*ABS(H365),$D$7)</f>
        <v>80</v>
      </c>
      <c r="L365" s="26">
        <f t="shared" ref="L365:L382" si="279">SIGN(I365)*MIN($D$8*ABS(I365),$D$7)</f>
        <v>80</v>
      </c>
      <c r="M365" s="27">
        <f t="shared" ref="M365:M382" si="280">J365*$D$334</f>
        <v>9907.2000000000007</v>
      </c>
      <c r="N365" s="27">
        <f t="shared" ref="N365:N382" si="281">K365*$D$335*2</f>
        <v>5414.4000000000005</v>
      </c>
      <c r="O365" s="27">
        <f t="shared" ref="O365:O382" si="282">L365*$D$336*2</f>
        <v>5414.4000000000005</v>
      </c>
      <c r="P365" s="9">
        <f t="shared" ref="P365:P382" si="283">$D$15*C365*2*$D$12*(-0.85*$D$6)</f>
        <v>-1981.3500000000004</v>
      </c>
      <c r="Q365" s="27">
        <f t="shared" ref="Q365:Q382" si="284">SUM(M365:P365)</f>
        <v>18754.650000000001</v>
      </c>
      <c r="R365" s="27">
        <f t="shared" ref="R365:R382" si="285">(P365*(-$D$10+$D$18+$D$15*C365/2)+M365*($D$18-$D$20)+N365*($D$18-$D$21)+O365*($D$18-$D$22))/12</f>
        <v>15560.477187500006</v>
      </c>
      <c r="S365" s="16">
        <f t="shared" ref="S365:S382" si="286">MAX(0.65,MIN(0.9,0.65+(F365-0.002)*250/3))</f>
        <v>0.9</v>
      </c>
      <c r="T365" s="27">
        <f t="shared" ref="T365:T379" si="287">Q365*S365</f>
        <v>16879.185000000001</v>
      </c>
      <c r="U365" s="27">
        <f t="shared" ref="U365:U379" si="288">R365*S365</f>
        <v>14004.429468750006</v>
      </c>
    </row>
    <row r="366" spans="1:21">
      <c r="B366" s="22">
        <v>9.9900000000000003E-2</v>
      </c>
      <c r="C366" s="26">
        <f t="shared" si="270"/>
        <v>15.841285714285718</v>
      </c>
      <c r="D366" s="31">
        <f t="shared" si="271"/>
        <v>0.11234954407294835</v>
      </c>
      <c r="E366" s="24">
        <f t="shared" si="272"/>
        <v>-1.8937856775694609E-4</v>
      </c>
      <c r="F366" s="17">
        <f t="shared" si="273"/>
        <v>2.3702378053729399E-2</v>
      </c>
      <c r="G366" s="25">
        <f t="shared" si="274"/>
        <v>2.0861699537375208E-2</v>
      </c>
      <c r="H366" s="25">
        <f t="shared" si="275"/>
        <v>1.702678354029705E-2</v>
      </c>
      <c r="I366" s="25">
        <f t="shared" si="276"/>
        <v>3.6755945134323495E-3</v>
      </c>
      <c r="J366" s="26">
        <f t="shared" si="277"/>
        <v>80</v>
      </c>
      <c r="K366" s="26">
        <f t="shared" si="278"/>
        <v>80</v>
      </c>
      <c r="L366" s="26">
        <f t="shared" si="279"/>
        <v>80</v>
      </c>
      <c r="M366" s="27">
        <f t="shared" si="280"/>
        <v>9907.2000000000007</v>
      </c>
      <c r="N366" s="27">
        <f t="shared" si="281"/>
        <v>5414.4000000000005</v>
      </c>
      <c r="O366" s="27">
        <f t="shared" si="282"/>
        <v>5414.4000000000005</v>
      </c>
      <c r="P366" s="9">
        <f t="shared" si="283"/>
        <v>-3958.7373000000011</v>
      </c>
      <c r="Q366" s="27">
        <f t="shared" si="284"/>
        <v>16777.262700000003</v>
      </c>
      <c r="R366" s="27">
        <f t="shared" si="285"/>
        <v>30176.206336001258</v>
      </c>
      <c r="S366" s="16">
        <f t="shared" si="286"/>
        <v>0.9</v>
      </c>
      <c r="T366" s="27">
        <f t="shared" si="287"/>
        <v>15099.536430000004</v>
      </c>
      <c r="U366" s="27">
        <f t="shared" si="288"/>
        <v>27158.585702401131</v>
      </c>
    </row>
    <row r="367" spans="1:21">
      <c r="B367" s="22">
        <v>0.14979999999999999</v>
      </c>
      <c r="C367" s="26">
        <f t="shared" si="270"/>
        <v>23.753999999999998</v>
      </c>
      <c r="D367" s="31">
        <f t="shared" si="271"/>
        <v>0.16846808510638298</v>
      </c>
      <c r="E367" s="24">
        <f t="shared" si="272"/>
        <v>-1.2629451881788332E-4</v>
      </c>
      <c r="F367" s="17">
        <f t="shared" si="273"/>
        <v>1.4807527153321549E-2</v>
      </c>
      <c r="G367" s="25">
        <f t="shared" si="274"/>
        <v>1.2913109371053298E-2</v>
      </c>
      <c r="H367" s="25">
        <f t="shared" si="275"/>
        <v>1.0355645364991161E-2</v>
      </c>
      <c r="I367" s="25">
        <f t="shared" si="276"/>
        <v>1.4518817883303879E-3</v>
      </c>
      <c r="J367" s="26">
        <f t="shared" si="277"/>
        <v>80</v>
      </c>
      <c r="K367" s="26">
        <f t="shared" si="278"/>
        <v>80</v>
      </c>
      <c r="L367" s="26">
        <f t="shared" si="279"/>
        <v>42.104571861581249</v>
      </c>
      <c r="M367" s="27">
        <f t="shared" si="280"/>
        <v>9907.2000000000007</v>
      </c>
      <c r="N367" s="27">
        <f t="shared" si="281"/>
        <v>5414.4000000000005</v>
      </c>
      <c r="O367" s="27">
        <f t="shared" si="282"/>
        <v>2849.6374235918192</v>
      </c>
      <c r="P367" s="9">
        <f t="shared" si="283"/>
        <v>-5936.1245999999992</v>
      </c>
      <c r="Q367" s="27">
        <f t="shared" si="284"/>
        <v>12235.112823591822</v>
      </c>
      <c r="R367" s="27">
        <f t="shared" si="285"/>
        <v>57080.625869517105</v>
      </c>
      <c r="S367" s="16">
        <f t="shared" si="286"/>
        <v>0.9</v>
      </c>
      <c r="T367" s="27">
        <f t="shared" si="287"/>
        <v>11011.60154123264</v>
      </c>
      <c r="U367" s="27">
        <f t="shared" si="288"/>
        <v>51372.563282565396</v>
      </c>
    </row>
    <row r="368" spans="1:21">
      <c r="B368" s="22">
        <v>0.19969999999999999</v>
      </c>
      <c r="C368" s="26">
        <f t="shared" si="270"/>
        <v>31.666714285714288</v>
      </c>
      <c r="D368" s="31">
        <f t="shared" si="271"/>
        <v>0.22458662613981764</v>
      </c>
      <c r="E368" s="24">
        <f t="shared" si="272"/>
        <v>-9.4736699644060673E-5</v>
      </c>
      <c r="F368" s="17">
        <f t="shared" si="273"/>
        <v>1.0357874649812554E-2</v>
      </c>
      <c r="G368" s="25">
        <f t="shared" si="274"/>
        <v>8.9368241551516445E-3</v>
      </c>
      <c r="H368" s="25">
        <f t="shared" si="275"/>
        <v>7.0184059873594157E-3</v>
      </c>
      <c r="I368" s="25">
        <f t="shared" si="276"/>
        <v>3.3946866245313851E-4</v>
      </c>
      <c r="J368" s="26">
        <f t="shared" si="277"/>
        <v>80</v>
      </c>
      <c r="K368" s="26">
        <f t="shared" si="278"/>
        <v>80</v>
      </c>
      <c r="L368" s="26">
        <f t="shared" si="279"/>
        <v>9.844591211141017</v>
      </c>
      <c r="M368" s="27">
        <f t="shared" si="280"/>
        <v>9907.2000000000007</v>
      </c>
      <c r="N368" s="27">
        <f t="shared" si="281"/>
        <v>5414.4000000000005</v>
      </c>
      <c r="O368" s="27">
        <f t="shared" si="282"/>
        <v>666.2819331700241</v>
      </c>
      <c r="P368" s="9">
        <f t="shared" si="283"/>
        <v>-7913.5119000000013</v>
      </c>
      <c r="Q368" s="27">
        <f t="shared" si="284"/>
        <v>8074.3700331700256</v>
      </c>
      <c r="R368" s="27">
        <f t="shared" si="285"/>
        <v>81109.145831333342</v>
      </c>
      <c r="S368" s="16">
        <f t="shared" si="286"/>
        <v>0.9</v>
      </c>
      <c r="T368" s="27">
        <f t="shared" si="287"/>
        <v>7266.9330298530231</v>
      </c>
      <c r="U368" s="27">
        <f t="shared" si="288"/>
        <v>72998.231248200012</v>
      </c>
    </row>
    <row r="369" spans="2:21">
      <c r="B369" s="22">
        <v>0.24959999999999999</v>
      </c>
      <c r="C369" s="26">
        <f t="shared" si="270"/>
        <v>39.579428571428572</v>
      </c>
      <c r="D369" s="29">
        <f t="shared" si="271"/>
        <v>0.28070516717325228</v>
      </c>
      <c r="E369" s="24">
        <f t="shared" si="272"/>
        <v>-7.5796950796950792E-5</v>
      </c>
      <c r="F369" s="17">
        <f t="shared" si="273"/>
        <v>7.687370062370062E-3</v>
      </c>
      <c r="G369" s="25">
        <f t="shared" si="274"/>
        <v>6.5504158004158009E-3</v>
      </c>
      <c r="H369" s="25">
        <f t="shared" si="275"/>
        <v>5.0155275467775474E-3</v>
      </c>
      <c r="I369" s="25">
        <f t="shared" si="276"/>
        <v>-3.2815748440748389E-4</v>
      </c>
      <c r="J369" s="26">
        <f t="shared" si="277"/>
        <v>80</v>
      </c>
      <c r="K369" s="26">
        <f t="shared" si="278"/>
        <v>80</v>
      </c>
      <c r="L369" s="26">
        <f t="shared" si="279"/>
        <v>-9.5165670478170323</v>
      </c>
      <c r="M369" s="27">
        <f t="shared" si="280"/>
        <v>9907.2000000000007</v>
      </c>
      <c r="N369" s="27">
        <f t="shared" si="281"/>
        <v>5414.4000000000005</v>
      </c>
      <c r="O369" s="27">
        <f t="shared" si="282"/>
        <v>-644.08125779625686</v>
      </c>
      <c r="P369" s="9">
        <f t="shared" si="283"/>
        <v>-9890.8991999999998</v>
      </c>
      <c r="Q369" s="27">
        <f t="shared" si="284"/>
        <v>4786.6195422037454</v>
      </c>
      <c r="R369" s="27">
        <f t="shared" si="285"/>
        <v>99731.467886565733</v>
      </c>
      <c r="S369" s="16">
        <f t="shared" si="286"/>
        <v>0.9</v>
      </c>
      <c r="T369" s="27">
        <f t="shared" si="287"/>
        <v>4307.957587983371</v>
      </c>
      <c r="U369" s="27">
        <f t="shared" si="288"/>
        <v>89758.321097909167</v>
      </c>
    </row>
    <row r="370" spans="2:21">
      <c r="B370" s="22">
        <v>0.29949999999999999</v>
      </c>
      <c r="C370" s="26">
        <f t="shared" si="270"/>
        <v>47.492142857142859</v>
      </c>
      <c r="D370" s="29">
        <f t="shared" si="271"/>
        <v>0.33682370820668694</v>
      </c>
      <c r="E370" s="24">
        <f t="shared" si="272"/>
        <v>-6.3168343635789382E-5</v>
      </c>
      <c r="F370" s="17">
        <f t="shared" si="273"/>
        <v>5.9067364526463034E-3</v>
      </c>
      <c r="G370" s="25">
        <f t="shared" si="274"/>
        <v>4.9592112981094623E-3</v>
      </c>
      <c r="H370" s="25">
        <f t="shared" si="275"/>
        <v>3.6800523394847273E-3</v>
      </c>
      <c r="I370" s="25">
        <f t="shared" si="276"/>
        <v>-7.733158868384241E-4</v>
      </c>
      <c r="J370" s="26">
        <f t="shared" si="277"/>
        <v>80</v>
      </c>
      <c r="K370" s="26">
        <f t="shared" si="278"/>
        <v>80</v>
      </c>
      <c r="L370" s="26">
        <f t="shared" si="279"/>
        <v>-22.4261607183143</v>
      </c>
      <c r="M370" s="27">
        <f t="shared" si="280"/>
        <v>9907.2000000000007</v>
      </c>
      <c r="N370" s="27">
        <f t="shared" si="281"/>
        <v>5414.4000000000005</v>
      </c>
      <c r="O370" s="27">
        <f t="shared" si="282"/>
        <v>-1517.802557415512</v>
      </c>
      <c r="P370" s="9">
        <f t="shared" si="283"/>
        <v>-11868.2865</v>
      </c>
      <c r="Q370" s="27">
        <f t="shared" si="284"/>
        <v>1935.5109425844894</v>
      </c>
      <c r="R370" s="27">
        <f t="shared" si="285"/>
        <v>115193.58455250612</v>
      </c>
      <c r="S370" s="16">
        <f t="shared" si="286"/>
        <v>0.9</v>
      </c>
      <c r="T370" s="27">
        <f t="shared" si="287"/>
        <v>1741.9598483260404</v>
      </c>
      <c r="U370" s="27">
        <f t="shared" si="288"/>
        <v>103674.22609725551</v>
      </c>
    </row>
    <row r="371" spans="2:21">
      <c r="B371" s="22">
        <v>0.34939999999999999</v>
      </c>
      <c r="C371" s="26">
        <f t="shared" si="270"/>
        <v>55.404857142857146</v>
      </c>
      <c r="D371" s="29">
        <f t="shared" si="271"/>
        <v>0.39294224924012161</v>
      </c>
      <c r="E371" s="24">
        <f t="shared" si="272"/>
        <v>-5.4146877272235026E-5</v>
      </c>
      <c r="F371" s="17">
        <f t="shared" si="273"/>
        <v>4.6347096953851391E-3</v>
      </c>
      <c r="G371" s="25">
        <f t="shared" si="274"/>
        <v>3.8225065363016136E-3</v>
      </c>
      <c r="H371" s="25">
        <f t="shared" si="275"/>
        <v>2.7260322715388545E-3</v>
      </c>
      <c r="I371" s="25">
        <f t="shared" si="276"/>
        <v>-1.0913225761537151E-3</v>
      </c>
      <c r="J371" s="26">
        <f t="shared" si="277"/>
        <v>80</v>
      </c>
      <c r="K371" s="26">
        <f t="shared" si="278"/>
        <v>79.054935874626779</v>
      </c>
      <c r="L371" s="26">
        <f t="shared" si="279"/>
        <v>-31.648354708457738</v>
      </c>
      <c r="M371" s="27">
        <f t="shared" si="280"/>
        <v>9907.2000000000007</v>
      </c>
      <c r="N371" s="27">
        <f t="shared" si="281"/>
        <v>5350.4380599947408</v>
      </c>
      <c r="O371" s="27">
        <f t="shared" si="282"/>
        <v>-2141.9606466684199</v>
      </c>
      <c r="P371" s="9">
        <f t="shared" si="283"/>
        <v>-13845.6738</v>
      </c>
      <c r="Q371" s="27">
        <f t="shared" si="284"/>
        <v>-729.99638667367981</v>
      </c>
      <c r="R371" s="27">
        <f t="shared" si="285"/>
        <v>128411.88129464281</v>
      </c>
      <c r="S371" s="16">
        <f t="shared" si="286"/>
        <v>0.86955914128209499</v>
      </c>
      <c r="T371" s="27">
        <f t="shared" si="287"/>
        <v>-634.77503113499722</v>
      </c>
      <c r="U371" s="27">
        <f t="shared" si="288"/>
        <v>111661.72522898791</v>
      </c>
    </row>
    <row r="372" spans="2:21">
      <c r="B372" s="22">
        <v>0.39929999999999999</v>
      </c>
      <c r="C372" s="26">
        <f t="shared" si="270"/>
        <v>63.317571428571426</v>
      </c>
      <c r="D372" s="29">
        <f t="shared" si="271"/>
        <v>0.44906079027355622</v>
      </c>
      <c r="E372" s="24">
        <f t="shared" si="272"/>
        <v>-4.7380212669468872E-5</v>
      </c>
      <c r="F372" s="17">
        <f t="shared" si="273"/>
        <v>3.6806099863951106E-3</v>
      </c>
      <c r="G372" s="25">
        <f t="shared" si="274"/>
        <v>2.9699067963530777E-3</v>
      </c>
      <c r="H372" s="25">
        <f t="shared" si="275"/>
        <v>2.010457489796333E-3</v>
      </c>
      <c r="I372" s="25">
        <f t="shared" si="276"/>
        <v>-1.3298475034012225E-3</v>
      </c>
      <c r="J372" s="26">
        <f t="shared" si="277"/>
        <v>80</v>
      </c>
      <c r="K372" s="26">
        <f t="shared" si="278"/>
        <v>58.303267204093657</v>
      </c>
      <c r="L372" s="26">
        <f t="shared" si="279"/>
        <v>-38.56557759863545</v>
      </c>
      <c r="M372" s="27">
        <f t="shared" si="280"/>
        <v>9907.2000000000007</v>
      </c>
      <c r="N372" s="27">
        <f t="shared" si="281"/>
        <v>3945.9651243730591</v>
      </c>
      <c r="O372" s="27">
        <f t="shared" si="282"/>
        <v>-2610.1182918756476</v>
      </c>
      <c r="P372" s="9">
        <f t="shared" si="283"/>
        <v>-15823.061099999999</v>
      </c>
      <c r="Q372" s="27">
        <f t="shared" si="284"/>
        <v>-4580.0142675025872</v>
      </c>
      <c r="R372" s="27">
        <f t="shared" si="285"/>
        <v>138938.90242803711</v>
      </c>
      <c r="S372" s="16">
        <f t="shared" si="286"/>
        <v>0.7900508321995926</v>
      </c>
      <c r="T372" s="27">
        <f t="shared" si="287"/>
        <v>-3618.4440835264268</v>
      </c>
      <c r="U372" s="27">
        <f t="shared" si="288"/>
        <v>109768.79548816872</v>
      </c>
    </row>
    <row r="373" spans="2:21">
      <c r="B373" s="22">
        <v>0.44919999999999999</v>
      </c>
      <c r="C373" s="26">
        <f t="shared" si="270"/>
        <v>71.230285714285728</v>
      </c>
      <c r="D373" s="29">
        <f t="shared" si="271"/>
        <v>0.505179331306991</v>
      </c>
      <c r="E373" s="24">
        <f t="shared" si="272"/>
        <v>-4.2116916560371587E-5</v>
      </c>
      <c r="F373" s="17">
        <f t="shared" si="273"/>
        <v>2.9384852350123935E-3</v>
      </c>
      <c r="G373" s="25">
        <f t="shared" si="274"/>
        <v>2.3067314866068197E-3</v>
      </c>
      <c r="H373" s="25">
        <f t="shared" si="275"/>
        <v>1.4538639262592951E-3</v>
      </c>
      <c r="I373" s="25">
        <f t="shared" si="276"/>
        <v>-1.5153786912469019E-3</v>
      </c>
      <c r="J373" s="26">
        <f t="shared" si="277"/>
        <v>66.895213111597769</v>
      </c>
      <c r="K373" s="26">
        <f t="shared" si="278"/>
        <v>42.16205386151956</v>
      </c>
      <c r="L373" s="26">
        <f t="shared" si="279"/>
        <v>-43.945982046160154</v>
      </c>
      <c r="M373" s="27">
        <f t="shared" si="280"/>
        <v>8284.3031917402677</v>
      </c>
      <c r="N373" s="27">
        <f t="shared" si="281"/>
        <v>2853.5278053476441</v>
      </c>
      <c r="O373" s="27">
        <f t="shared" si="282"/>
        <v>-2974.2640648841193</v>
      </c>
      <c r="P373" s="9">
        <f t="shared" si="283"/>
        <v>-17800.448400000001</v>
      </c>
      <c r="Q373" s="27">
        <f t="shared" si="284"/>
        <v>-9636.8814677962073</v>
      </c>
      <c r="R373" s="27">
        <f t="shared" si="285"/>
        <v>144325.18478949534</v>
      </c>
      <c r="S373" s="16">
        <f t="shared" si="286"/>
        <v>0.72820710291769952</v>
      </c>
      <c r="T373" s="27">
        <f t="shared" si="287"/>
        <v>-7017.6455348251438</v>
      </c>
      <c r="U373" s="27">
        <f t="shared" si="288"/>
        <v>105098.62469362003</v>
      </c>
    </row>
    <row r="374" spans="2:21">
      <c r="B374" s="22">
        <v>0.49909999999999999</v>
      </c>
      <c r="C374" s="26">
        <f t="shared" si="270"/>
        <v>79.143000000000015</v>
      </c>
      <c r="D374" s="29">
        <f t="shared" si="271"/>
        <v>0.56129787234042561</v>
      </c>
      <c r="E374" s="24">
        <f t="shared" si="272"/>
        <v>-3.7906068761608724E-5</v>
      </c>
      <c r="F374" s="17">
        <f t="shared" si="273"/>
        <v>2.3447556953868302E-3</v>
      </c>
      <c r="G374" s="25">
        <f t="shared" si="274"/>
        <v>1.7761646639626995E-3</v>
      </c>
      <c r="H374" s="25">
        <f t="shared" si="275"/>
        <v>1.0085667715401228E-3</v>
      </c>
      <c r="I374" s="25">
        <f t="shared" si="276"/>
        <v>-1.6638110761532923E-3</v>
      </c>
      <c r="J374" s="26">
        <f t="shared" si="277"/>
        <v>51.508775254918284</v>
      </c>
      <c r="K374" s="26">
        <f t="shared" si="278"/>
        <v>29.248436374663562</v>
      </c>
      <c r="L374" s="26">
        <f t="shared" si="279"/>
        <v>-48.250521208445477</v>
      </c>
      <c r="M374" s="27">
        <f t="shared" si="280"/>
        <v>6378.84672756908</v>
      </c>
      <c r="N374" s="27">
        <f t="shared" si="281"/>
        <v>1979.5341738372301</v>
      </c>
      <c r="O374" s="27">
        <f t="shared" si="282"/>
        <v>-3265.5952753875904</v>
      </c>
      <c r="P374" s="9">
        <f t="shared" si="283"/>
        <v>-19777.835700000003</v>
      </c>
      <c r="Q374" s="27">
        <f t="shared" si="284"/>
        <v>-14685.050073981283</v>
      </c>
      <c r="R374" s="27">
        <f t="shared" si="285"/>
        <v>147900.48027737869</v>
      </c>
      <c r="S374" s="16">
        <f t="shared" si="286"/>
        <v>0.6787296412822359</v>
      </c>
      <c r="T374" s="27">
        <f t="shared" si="287"/>
        <v>-9967.1787689249886</v>
      </c>
      <c r="U374" s="27">
        <f t="shared" si="288"/>
        <v>100384.43992413564</v>
      </c>
    </row>
    <row r="375" spans="2:21">
      <c r="B375" s="22">
        <v>0.54900000000000004</v>
      </c>
      <c r="C375" s="26">
        <f t="shared" si="270"/>
        <v>87.055714285714288</v>
      </c>
      <c r="D375" s="29">
        <f t="shared" si="271"/>
        <v>0.61741641337386022</v>
      </c>
      <c r="E375" s="24">
        <f t="shared" si="272"/>
        <v>-3.4460690198395119E-5</v>
      </c>
      <c r="F375" s="17">
        <f t="shared" si="273"/>
        <v>1.8589573179737114E-3</v>
      </c>
      <c r="G375" s="25">
        <f t="shared" si="274"/>
        <v>1.3420469649977848E-3</v>
      </c>
      <c r="H375" s="25">
        <f t="shared" si="275"/>
        <v>6.4421798848028351E-4</v>
      </c>
      <c r="I375" s="25">
        <f t="shared" si="276"/>
        <v>-1.7852606705065725E-3</v>
      </c>
      <c r="J375" s="26">
        <f t="shared" si="277"/>
        <v>38.919361984935755</v>
      </c>
      <c r="K375" s="26">
        <f t="shared" si="278"/>
        <v>18.682321665928221</v>
      </c>
      <c r="L375" s="26">
        <f t="shared" si="279"/>
        <v>-51.7725594446906</v>
      </c>
      <c r="M375" s="27">
        <f t="shared" si="280"/>
        <v>4819.7737882144438</v>
      </c>
      <c r="N375" s="27">
        <f t="shared" si="281"/>
        <v>1264.4195303500221</v>
      </c>
      <c r="O375" s="27">
        <f t="shared" si="282"/>
        <v>-3503.96682321666</v>
      </c>
      <c r="P375" s="9">
        <f t="shared" si="283"/>
        <v>-21755.223000000002</v>
      </c>
      <c r="Q375" s="27">
        <f t="shared" si="284"/>
        <v>-19174.996504652197</v>
      </c>
      <c r="R375" s="27">
        <f t="shared" si="285"/>
        <v>151242.70909658234</v>
      </c>
      <c r="S375" s="16">
        <f t="shared" si="286"/>
        <v>0.65</v>
      </c>
      <c r="T375" s="27">
        <f t="shared" si="287"/>
        <v>-12463.747728023929</v>
      </c>
      <c r="U375" s="27">
        <f t="shared" si="288"/>
        <v>98307.760912778525</v>
      </c>
    </row>
    <row r="376" spans="2:21">
      <c r="B376" s="22">
        <v>0.59889999999999999</v>
      </c>
      <c r="C376" s="26">
        <f t="shared" si="270"/>
        <v>94.968428571428575</v>
      </c>
      <c r="D376" s="29">
        <f t="shared" si="271"/>
        <v>0.67353495440729483</v>
      </c>
      <c r="E376" s="24">
        <f t="shared" si="272"/>
        <v>-3.1589445514975652E-5</v>
      </c>
      <c r="F376" s="17">
        <f t="shared" si="273"/>
        <v>1.4541118176115669E-3</v>
      </c>
      <c r="G376" s="25">
        <f t="shared" si="274"/>
        <v>9.8027013488693224E-4</v>
      </c>
      <c r="H376" s="25">
        <f t="shared" si="275"/>
        <v>3.4058386320867521E-4</v>
      </c>
      <c r="I376" s="25">
        <f t="shared" si="276"/>
        <v>-1.8864720455971083E-3</v>
      </c>
      <c r="J376" s="26">
        <f t="shared" si="277"/>
        <v>28.427833911721034</v>
      </c>
      <c r="K376" s="26">
        <f t="shared" si="278"/>
        <v>9.8769320330515811</v>
      </c>
      <c r="L376" s="26">
        <f t="shared" si="279"/>
        <v>-54.707689322316142</v>
      </c>
      <c r="M376" s="27">
        <f t="shared" si="280"/>
        <v>3520.5029516275331</v>
      </c>
      <c r="N376" s="27">
        <f t="shared" si="281"/>
        <v>668.47075999693106</v>
      </c>
      <c r="O376" s="27">
        <f t="shared" si="282"/>
        <v>-3702.6164133343568</v>
      </c>
      <c r="P376" s="9">
        <f t="shared" si="283"/>
        <v>-23732.610300000004</v>
      </c>
      <c r="Q376" s="27">
        <f t="shared" si="284"/>
        <v>-23246.253001709898</v>
      </c>
      <c r="R376" s="27">
        <f t="shared" si="285"/>
        <v>154181.98814911765</v>
      </c>
      <c r="S376" s="16">
        <f t="shared" si="286"/>
        <v>0.65</v>
      </c>
      <c r="T376" s="27">
        <f t="shared" si="287"/>
        <v>-15110.064451111433</v>
      </c>
      <c r="U376" s="27">
        <f t="shared" si="288"/>
        <v>100218.29229692648</v>
      </c>
    </row>
    <row r="377" spans="2:21">
      <c r="B377" s="22">
        <v>0.64880000000000004</v>
      </c>
      <c r="C377" s="26">
        <f t="shared" si="270"/>
        <v>102.88114285714286</v>
      </c>
      <c r="D377" s="29">
        <f t="shared" si="271"/>
        <v>0.72965349544072955</v>
      </c>
      <c r="E377" s="24">
        <f t="shared" si="272"/>
        <v>-2.9159862698703635E-5</v>
      </c>
      <c r="F377" s="17">
        <f t="shared" si="273"/>
        <v>1.1115406405172125E-3</v>
      </c>
      <c r="G377" s="25">
        <f t="shared" si="274"/>
        <v>6.7414270003665795E-4</v>
      </c>
      <c r="H377" s="25">
        <f t="shared" si="275"/>
        <v>8.3655480387909341E-5</v>
      </c>
      <c r="I377" s="25">
        <f t="shared" si="276"/>
        <v>-1.9721148398706969E-3</v>
      </c>
      <c r="J377" s="26">
        <f t="shared" si="277"/>
        <v>19.550138301063079</v>
      </c>
      <c r="K377" s="26">
        <f t="shared" si="278"/>
        <v>2.4260089312493709</v>
      </c>
      <c r="L377" s="26">
        <f t="shared" si="279"/>
        <v>-57.191330356250212</v>
      </c>
      <c r="M377" s="27">
        <f t="shared" si="280"/>
        <v>2421.089127203652</v>
      </c>
      <c r="N377" s="27">
        <f t="shared" si="281"/>
        <v>164.19228446695743</v>
      </c>
      <c r="O377" s="27">
        <f t="shared" si="282"/>
        <v>-3870.709238511015</v>
      </c>
      <c r="P377" s="9">
        <f t="shared" si="283"/>
        <v>-25709.997599999999</v>
      </c>
      <c r="Q377" s="27">
        <f t="shared" si="284"/>
        <v>-26995.425426840404</v>
      </c>
      <c r="R377" s="27">
        <f t="shared" si="285"/>
        <v>156600.69800277674</v>
      </c>
      <c r="S377" s="16">
        <f t="shared" si="286"/>
        <v>0.65</v>
      </c>
      <c r="T377" s="27">
        <f t="shared" si="287"/>
        <v>-17547.026527446262</v>
      </c>
      <c r="U377" s="27">
        <f t="shared" si="288"/>
        <v>101790.45370180489</v>
      </c>
    </row>
    <row r="378" spans="2:21">
      <c r="B378" s="22">
        <v>0.69869999999999999</v>
      </c>
      <c r="C378" s="26">
        <f t="shared" si="270"/>
        <v>110.79385714285715</v>
      </c>
      <c r="D378" s="29">
        <f t="shared" si="271"/>
        <v>0.78577203647416416</v>
      </c>
      <c r="E378" s="24">
        <f t="shared" si="272"/>
        <v>-2.7077313466321624E-5</v>
      </c>
      <c r="F378" s="17">
        <f t="shared" si="273"/>
        <v>8.1790119875134882E-4</v>
      </c>
      <c r="G378" s="25">
        <f t="shared" si="274"/>
        <v>4.1174149675652451E-4</v>
      </c>
      <c r="H378" s="25">
        <f t="shared" si="275"/>
        <v>-1.365741009364884E-4</v>
      </c>
      <c r="I378" s="25">
        <f t="shared" si="276"/>
        <v>-2.0455247003121628E-3</v>
      </c>
      <c r="J378" s="26">
        <f t="shared" si="277"/>
        <v>11.940503405939211</v>
      </c>
      <c r="K378" s="26">
        <f t="shared" si="278"/>
        <v>-3.9606489271581635</v>
      </c>
      <c r="L378" s="26">
        <f t="shared" si="279"/>
        <v>-59.320216309052725</v>
      </c>
      <c r="M378" s="27">
        <f t="shared" si="280"/>
        <v>1478.7119417915119</v>
      </c>
      <c r="N378" s="27">
        <f t="shared" si="281"/>
        <v>-268.05671939006453</v>
      </c>
      <c r="O378" s="27">
        <f t="shared" si="282"/>
        <v>-4014.792239796689</v>
      </c>
      <c r="P378" s="9">
        <f t="shared" si="283"/>
        <v>-27687.384900000005</v>
      </c>
      <c r="Q378" s="27">
        <f t="shared" si="284"/>
        <v>-30491.521917395246</v>
      </c>
      <c r="R378" s="27">
        <f t="shared" si="285"/>
        <v>158414.8199676857</v>
      </c>
      <c r="S378" s="16">
        <f t="shared" si="286"/>
        <v>0.65</v>
      </c>
      <c r="T378" s="27">
        <f t="shared" si="287"/>
        <v>-19819.489246306912</v>
      </c>
      <c r="U378" s="27">
        <f t="shared" si="288"/>
        <v>102969.63297899571</v>
      </c>
    </row>
    <row r="379" spans="2:21">
      <c r="B379" s="22">
        <v>0.74860000000000004</v>
      </c>
      <c r="C379" s="26">
        <f t="shared" si="270"/>
        <v>118.70657142857145</v>
      </c>
      <c r="D379" s="29">
        <f t="shared" si="271"/>
        <v>0.84189057750759899</v>
      </c>
      <c r="E379" s="24">
        <f t="shared" si="272"/>
        <v>-2.5272400372587383E-5</v>
      </c>
      <c r="F379" s="17">
        <f t="shared" si="273"/>
        <v>5.6340845253482108E-4</v>
      </c>
      <c r="G379" s="25">
        <f t="shared" si="274"/>
        <v>1.8432244694601034E-4</v>
      </c>
      <c r="H379" s="25">
        <f t="shared" si="275"/>
        <v>-3.2744366059888415E-4</v>
      </c>
      <c r="I379" s="25">
        <f t="shared" si="276"/>
        <v>-2.1091478868662948E-3</v>
      </c>
      <c r="J379" s="26">
        <f t="shared" si="277"/>
        <v>5.3453509614343</v>
      </c>
      <c r="K379" s="26">
        <f t="shared" si="278"/>
        <v>-9.4958661573676402</v>
      </c>
      <c r="L379" s="26">
        <f t="shared" si="279"/>
        <v>-61.16528871912255</v>
      </c>
      <c r="M379" s="27">
        <f t="shared" si="280"/>
        <v>661.96826306402374</v>
      </c>
      <c r="N379" s="27">
        <f t="shared" si="281"/>
        <v>-642.68022153064192</v>
      </c>
      <c r="O379" s="27">
        <f t="shared" si="282"/>
        <v>-4139.6667405102144</v>
      </c>
      <c r="P379" s="9">
        <f t="shared" si="283"/>
        <v>-29664.77220000001</v>
      </c>
      <c r="Q379" s="27">
        <f t="shared" si="284"/>
        <v>-33785.150898976841</v>
      </c>
      <c r="R379" s="27">
        <f t="shared" si="285"/>
        <v>159562.73734501883</v>
      </c>
      <c r="S379" s="16">
        <f t="shared" si="286"/>
        <v>0.65</v>
      </c>
      <c r="T379" s="27">
        <f t="shared" si="287"/>
        <v>-21960.348084334946</v>
      </c>
      <c r="U379" s="27">
        <f t="shared" si="288"/>
        <v>103715.77927426224</v>
      </c>
    </row>
    <row r="380" spans="2:21">
      <c r="B380" s="22">
        <v>0.8</v>
      </c>
      <c r="C380" s="26">
        <f t="shared" si="270"/>
        <v>126.85714285714288</v>
      </c>
      <c r="D380" s="29">
        <f t="shared" si="271"/>
        <v>0.89969604863221897</v>
      </c>
      <c r="E380" s="24">
        <f t="shared" si="272"/>
        <v>-2.3648648648648646E-5</v>
      </c>
      <c r="F380" s="17">
        <f t="shared" si="273"/>
        <v>3.3445945945945898E-4</v>
      </c>
      <c r="G380" s="25">
        <f t="shared" si="274"/>
        <v>-2.02702702702707E-5</v>
      </c>
      <c r="H380" s="25">
        <f t="shared" si="275"/>
        <v>-4.9915540540540579E-4</v>
      </c>
      <c r="I380" s="25">
        <f t="shared" si="276"/>
        <v>-2.1663851351351356E-3</v>
      </c>
      <c r="J380" s="26">
        <f t="shared" si="277"/>
        <v>-0.58783783783785026</v>
      </c>
      <c r="K380" s="26">
        <f t="shared" si="278"/>
        <v>-14.475506756756769</v>
      </c>
      <c r="L380" s="26">
        <f t="shared" si="279"/>
        <v>-62.825168918918934</v>
      </c>
      <c r="M380" s="27">
        <f t="shared" si="280"/>
        <v>-72.797837837839381</v>
      </c>
      <c r="N380" s="27">
        <f t="shared" si="281"/>
        <v>-979.70229729729817</v>
      </c>
      <c r="O380" s="27">
        <f t="shared" si="282"/>
        <v>-4252.0074324324341</v>
      </c>
      <c r="P380" s="9">
        <f t="shared" si="283"/>
        <v>-31701.600000000006</v>
      </c>
      <c r="Q380" s="27">
        <f t="shared" si="284"/>
        <v>-37006.107567567575</v>
      </c>
      <c r="R380" s="27">
        <f t="shared" si="285"/>
        <v>159999.90458445947</v>
      </c>
      <c r="S380" s="16">
        <f t="shared" si="286"/>
        <v>0.65</v>
      </c>
      <c r="T380" s="27">
        <f t="shared" ref="T380:T382" si="289">Q380*S380</f>
        <v>-24053.969918918923</v>
      </c>
      <c r="U380" s="27">
        <f t="shared" ref="U380:U382" si="290">R380*S380</f>
        <v>103999.93797989866</v>
      </c>
    </row>
    <row r="381" spans="2:21">
      <c r="B381" s="22">
        <v>0.85</v>
      </c>
      <c r="C381" s="26">
        <f t="shared" si="270"/>
        <v>134.78571428571431</v>
      </c>
      <c r="D381" s="29">
        <f t="shared" si="271"/>
        <v>0.95592705167173264</v>
      </c>
      <c r="E381" s="24">
        <f t="shared" si="272"/>
        <v>-2.2257551669316373E-5</v>
      </c>
      <c r="F381" s="17">
        <f t="shared" si="273"/>
        <v>1.3831478537360844E-4</v>
      </c>
      <c r="G381" s="25">
        <f t="shared" si="274"/>
        <v>-1.9554848966613715E-4</v>
      </c>
      <c r="H381" s="25">
        <f t="shared" si="275"/>
        <v>-6.4626391096979374E-4</v>
      </c>
      <c r="I381" s="25">
        <f t="shared" si="276"/>
        <v>-2.2154213036565981E-3</v>
      </c>
      <c r="J381" s="26">
        <f t="shared" si="277"/>
        <v>-5.6709062003179778</v>
      </c>
      <c r="K381" s="26">
        <f t="shared" si="278"/>
        <v>-18.74165341812402</v>
      </c>
      <c r="L381" s="26">
        <f t="shared" si="279"/>
        <v>-64.247217806041348</v>
      </c>
      <c r="M381" s="27">
        <f t="shared" si="280"/>
        <v>-702.2850238473784</v>
      </c>
      <c r="N381" s="27">
        <f t="shared" si="281"/>
        <v>-1268.4351033386338</v>
      </c>
      <c r="O381" s="27">
        <f t="shared" si="282"/>
        <v>-4348.2517011128793</v>
      </c>
      <c r="P381" s="9">
        <f t="shared" si="283"/>
        <v>-33682.950000000004</v>
      </c>
      <c r="Q381" s="27">
        <f t="shared" si="284"/>
        <v>-40001.921828298895</v>
      </c>
      <c r="R381" s="27">
        <f t="shared" si="285"/>
        <v>159663.26267875594</v>
      </c>
      <c r="S381" s="16">
        <f t="shared" si="286"/>
        <v>0.65</v>
      </c>
      <c r="T381" s="27">
        <f t="shared" si="289"/>
        <v>-26001.249188394282</v>
      </c>
      <c r="U381" s="27">
        <f t="shared" si="290"/>
        <v>103781.12074119136</v>
      </c>
    </row>
    <row r="382" spans="2:21">
      <c r="B382" s="22">
        <v>0.9</v>
      </c>
      <c r="C382" s="26">
        <f t="shared" si="270"/>
        <v>142.71428571428572</v>
      </c>
      <c r="D382" s="29">
        <f t="shared" si="271"/>
        <v>1.0121580547112463</v>
      </c>
      <c r="E382" s="24">
        <f t="shared" si="272"/>
        <v>-2.1021021021021022E-5</v>
      </c>
      <c r="F382" s="17">
        <f t="shared" si="273"/>
        <v>-3.6036036036036207E-5</v>
      </c>
      <c r="G382" s="25">
        <f t="shared" si="274"/>
        <v>-3.5135135135135151E-4</v>
      </c>
      <c r="H382" s="25">
        <f t="shared" si="275"/>
        <v>-7.7702702702702722E-4</v>
      </c>
      <c r="I382" s="25">
        <f t="shared" si="276"/>
        <v>-2.2590090090090094E-3</v>
      </c>
      <c r="J382" s="26">
        <f t="shared" si="277"/>
        <v>-10.189189189189193</v>
      </c>
      <c r="K382" s="26">
        <f t="shared" si="278"/>
        <v>-22.53378378378379</v>
      </c>
      <c r="L382" s="26">
        <f t="shared" si="279"/>
        <v>-65.511261261261268</v>
      </c>
      <c r="M382" s="27">
        <f t="shared" si="280"/>
        <v>-1261.8291891891897</v>
      </c>
      <c r="N382" s="27">
        <f t="shared" si="281"/>
        <v>-1525.086486486487</v>
      </c>
      <c r="O382" s="27">
        <f t="shared" si="282"/>
        <v>-4433.8021621621629</v>
      </c>
      <c r="P382" s="9">
        <f t="shared" si="283"/>
        <v>-35664.300000000003</v>
      </c>
      <c r="Q382" s="27">
        <f t="shared" si="284"/>
        <v>-42885.01783783784</v>
      </c>
      <c r="R382" s="27">
        <f t="shared" si="285"/>
        <v>158547.48296396396</v>
      </c>
      <c r="S382" s="16">
        <f t="shared" si="286"/>
        <v>0.65</v>
      </c>
      <c r="T382" s="27">
        <f t="shared" si="289"/>
        <v>-27875.261594594598</v>
      </c>
      <c r="U382" s="27">
        <f t="shared" si="290"/>
        <v>103055.86392657658</v>
      </c>
    </row>
    <row r="384" spans="2:21">
      <c r="B384" s="11" t="s">
        <v>7</v>
      </c>
      <c r="D384" s="33">
        <v>1.7999999999999999E-2</v>
      </c>
    </row>
    <row r="385" spans="1:21">
      <c r="B385" s="9" t="s">
        <v>8</v>
      </c>
      <c r="C385" s="9" t="s">
        <v>15</v>
      </c>
      <c r="D385" s="26">
        <f>D384*($D$11-2*$D$12)*$D$13</f>
        <v>139.31999999999996</v>
      </c>
    </row>
    <row r="386" spans="1:21">
      <c r="B386" s="9" t="s">
        <v>9</v>
      </c>
      <c r="C386" s="9" t="s">
        <v>15</v>
      </c>
      <c r="D386" s="26">
        <f>D384*$D$10/2*$D$12</f>
        <v>38.07</v>
      </c>
    </row>
    <row r="387" spans="1:21">
      <c r="B387" s="9" t="s">
        <v>10</v>
      </c>
      <c r="C387" s="9" t="s">
        <v>15</v>
      </c>
      <c r="D387" s="26">
        <f>D386</f>
        <v>38.07</v>
      </c>
    </row>
    <row r="389" spans="1:21">
      <c r="B389" s="18" t="s">
        <v>38</v>
      </c>
      <c r="C389" s="18" t="s">
        <v>37</v>
      </c>
      <c r="D389" s="18" t="s">
        <v>47</v>
      </c>
      <c r="E389" s="19" t="s">
        <v>19</v>
      </c>
      <c r="F389" s="19" t="s">
        <v>20</v>
      </c>
      <c r="G389" s="19" t="s">
        <v>21</v>
      </c>
      <c r="H389" s="19" t="s">
        <v>22</v>
      </c>
      <c r="I389" s="19" t="s">
        <v>23</v>
      </c>
      <c r="J389" s="19" t="s">
        <v>24</v>
      </c>
      <c r="K389" s="19" t="s">
        <v>25</v>
      </c>
      <c r="L389" s="19" t="s">
        <v>26</v>
      </c>
      <c r="M389" s="19" t="s">
        <v>27</v>
      </c>
      <c r="N389" s="19" t="s">
        <v>28</v>
      </c>
      <c r="O389" s="19" t="s">
        <v>29</v>
      </c>
      <c r="P389" s="19" t="s">
        <v>30</v>
      </c>
      <c r="Q389" s="19" t="s">
        <v>31</v>
      </c>
      <c r="R389" s="19" t="s">
        <v>32</v>
      </c>
      <c r="S389" s="19" t="s">
        <v>33</v>
      </c>
      <c r="T389" s="19"/>
      <c r="U389" s="19"/>
    </row>
    <row r="390" spans="1:21">
      <c r="B390" s="20"/>
      <c r="C390" s="21" t="s">
        <v>14</v>
      </c>
      <c r="D390" s="21"/>
      <c r="E390" s="21" t="s">
        <v>39</v>
      </c>
      <c r="F390" s="20"/>
      <c r="G390" s="20"/>
      <c r="H390" s="20"/>
      <c r="I390" s="20"/>
      <c r="J390" s="21" t="s">
        <v>13</v>
      </c>
      <c r="K390" s="21" t="s">
        <v>13</v>
      </c>
      <c r="L390" s="21" t="s">
        <v>13</v>
      </c>
      <c r="M390" s="21" t="s">
        <v>41</v>
      </c>
      <c r="N390" s="21" t="s">
        <v>41</v>
      </c>
      <c r="O390" s="21" t="s">
        <v>41</v>
      </c>
      <c r="P390" s="21" t="s">
        <v>41</v>
      </c>
      <c r="Q390" s="21" t="s">
        <v>41</v>
      </c>
      <c r="R390" s="21" t="s">
        <v>42</v>
      </c>
      <c r="S390" s="21"/>
      <c r="T390" s="21"/>
      <c r="U390" s="21"/>
    </row>
    <row r="391" spans="1:21">
      <c r="A391" s="15" t="s">
        <v>36</v>
      </c>
      <c r="B391" s="22"/>
      <c r="C391" s="23"/>
      <c r="D391" s="23"/>
      <c r="E391" s="24"/>
      <c r="F391" s="17"/>
      <c r="G391" s="25"/>
      <c r="H391" s="25"/>
      <c r="I391" s="25"/>
      <c r="J391" s="26"/>
      <c r="K391" s="26"/>
      <c r="L391" s="26"/>
      <c r="M391" s="27"/>
      <c r="N391" s="27"/>
      <c r="O391" s="27"/>
      <c r="P391" s="27"/>
      <c r="Q391" s="27"/>
      <c r="R391" s="27"/>
      <c r="S391" s="16"/>
      <c r="T391" s="27"/>
      <c r="U391" s="27"/>
    </row>
    <row r="392" spans="1:21">
      <c r="B392" s="22">
        <v>1.0000000000000001E-5</v>
      </c>
      <c r="C392" s="23">
        <f t="shared" ref="C392:C410" si="291">B392/$D$15*$D$13</f>
        <v>4.285714285714286E-4</v>
      </c>
      <c r="D392" s="29">
        <f>C392/$D$10</f>
        <v>3.0395136778115506E-6</v>
      </c>
      <c r="E392" s="24">
        <f t="shared" ref="E392:E410" si="292">-0.003/C392</f>
        <v>-7</v>
      </c>
      <c r="F392" s="17">
        <f t="shared" ref="F392:F410" si="293">E392*(C392-$D$10)</f>
        <v>986.99700000000007</v>
      </c>
      <c r="G392" s="25">
        <f t="shared" ref="G392:G410" si="294">E392*(C392-$D$20)</f>
        <v>104.997</v>
      </c>
      <c r="H392" s="25">
        <f t="shared" ref="H392:H410" si="295">E392*(C392-$D$21)</f>
        <v>246.74700000000001</v>
      </c>
      <c r="I392" s="25">
        <f t="shared" ref="I392:I410" si="296">E392*(C392-$D$22)</f>
        <v>740.24699999999996</v>
      </c>
      <c r="J392" s="26">
        <f t="shared" ref="J392:J410" si="297">SIGN(G392)*MIN($D$8*ABS(G392),$D$7)</f>
        <v>80</v>
      </c>
      <c r="K392" s="26">
        <f t="shared" ref="K392:K410" si="298">SIGN(H392)*MIN($D$8*ABS(H392),$D$7)</f>
        <v>80</v>
      </c>
      <c r="L392" s="26">
        <f t="shared" ref="L392:L410" si="299">SIGN(I392)*MIN($D$8*ABS(I392),$D$7)</f>
        <v>80</v>
      </c>
      <c r="M392" s="27">
        <f>$D$385*J392</f>
        <v>11145.599999999997</v>
      </c>
      <c r="N392" s="27">
        <f>$D$386*K392*2</f>
        <v>6091.2</v>
      </c>
      <c r="O392" s="27">
        <f>$D$387*L392*2</f>
        <v>6091.2</v>
      </c>
      <c r="P392" s="27">
        <f t="shared" ref="P392:P410" si="300">$D$15*C392*$D$11*(-0.85*$D$6)</f>
        <v>-0.56763000000000008</v>
      </c>
      <c r="Q392" s="27">
        <f>SUM(M392:P392)</f>
        <v>23327.432369999995</v>
      </c>
      <c r="R392" s="27">
        <f t="shared" ref="R392:R410" si="301">(P392*($D$18-$D$15*C392/2)+M392*($D$18-$D$20)+N392*($D$18-$D$21)+O392*($D$18-$D$22))/12</f>
        <v>-2.0805145296326373</v>
      </c>
      <c r="S392" s="16">
        <f t="shared" ref="S392:S410" si="302">MAX(0.65,MIN(0.9,0.65+(F392-0.002)*250/3))</f>
        <v>0.9</v>
      </c>
      <c r="T392" s="27">
        <f t="shared" ref="T392:T410" si="303">S392*Q392</f>
        <v>20994.689132999996</v>
      </c>
      <c r="U392" s="27">
        <f t="shared" ref="U392:U410" si="304">S392*R392</f>
        <v>-1.8724630766693735</v>
      </c>
    </row>
    <row r="393" spans="1:21">
      <c r="B393" s="22">
        <v>0.05</v>
      </c>
      <c r="C393" s="23">
        <f t="shared" si="291"/>
        <v>2.1428571428571432</v>
      </c>
      <c r="D393" s="29">
        <f t="shared" ref="D393:D409" si="305">C393/$D$10</f>
        <v>1.5197568389057753E-2</v>
      </c>
      <c r="E393" s="24">
        <f t="shared" si="292"/>
        <v>-1.3999999999999998E-3</v>
      </c>
      <c r="F393" s="17">
        <f t="shared" si="293"/>
        <v>0.19439999999999996</v>
      </c>
      <c r="G393" s="25">
        <f t="shared" si="294"/>
        <v>1.7999999999999999E-2</v>
      </c>
      <c r="H393" s="25">
        <f t="shared" si="295"/>
        <v>4.6349999999999988E-2</v>
      </c>
      <c r="I393" s="25">
        <f t="shared" si="296"/>
        <v>0.14504999999999998</v>
      </c>
      <c r="J393" s="26">
        <f t="shared" si="297"/>
        <v>80</v>
      </c>
      <c r="K393" s="26">
        <f t="shared" si="298"/>
        <v>80</v>
      </c>
      <c r="L393" s="26">
        <f t="shared" si="299"/>
        <v>80</v>
      </c>
      <c r="M393" s="27">
        <f t="shared" ref="M393:M410" si="306">$D$385*J393</f>
        <v>11145.599999999997</v>
      </c>
      <c r="N393" s="27">
        <f t="shared" ref="N393:N410" si="307">$D$386*K393*2</f>
        <v>6091.2</v>
      </c>
      <c r="O393" s="27">
        <f t="shared" ref="O393:O410" si="308">$D$387*L393*2</f>
        <v>6091.2</v>
      </c>
      <c r="P393" s="27">
        <f t="shared" si="300"/>
        <v>-2838.1500000000005</v>
      </c>
      <c r="Q393" s="27">
        <f t="shared" ref="Q393:Q410" si="309">SUM(M393:P393)</f>
        <v>20489.849999999995</v>
      </c>
      <c r="R393" s="27">
        <f t="shared" si="301"/>
        <v>-10225.22375000001</v>
      </c>
      <c r="S393" s="16">
        <f t="shared" si="302"/>
        <v>0.9</v>
      </c>
      <c r="T393" s="27">
        <f t="shared" si="303"/>
        <v>18440.864999999994</v>
      </c>
      <c r="U393" s="27">
        <f t="shared" si="304"/>
        <v>-9202.7013750000096</v>
      </c>
    </row>
    <row r="394" spans="1:21">
      <c r="B394" s="22">
        <v>0.1</v>
      </c>
      <c r="C394" s="23">
        <f t="shared" si="291"/>
        <v>4.2857142857142865</v>
      </c>
      <c r="D394" s="29">
        <f t="shared" si="305"/>
        <v>3.0395136778115506E-2</v>
      </c>
      <c r="E394" s="24">
        <f t="shared" si="292"/>
        <v>-6.9999999999999988E-4</v>
      </c>
      <c r="F394" s="17">
        <f t="shared" si="293"/>
        <v>9.5699999999999993E-2</v>
      </c>
      <c r="G394" s="25">
        <f t="shared" si="294"/>
        <v>7.499999999999998E-3</v>
      </c>
      <c r="H394" s="25">
        <f t="shared" si="295"/>
        <v>2.1674999999999996E-2</v>
      </c>
      <c r="I394" s="25">
        <f t="shared" si="296"/>
        <v>7.1024999999999991E-2</v>
      </c>
      <c r="J394" s="26">
        <f t="shared" si="297"/>
        <v>80</v>
      </c>
      <c r="K394" s="26">
        <f t="shared" si="298"/>
        <v>80</v>
      </c>
      <c r="L394" s="26">
        <f t="shared" si="299"/>
        <v>80</v>
      </c>
      <c r="M394" s="27">
        <f t="shared" si="306"/>
        <v>11145.599999999997</v>
      </c>
      <c r="N394" s="27">
        <f t="shared" si="307"/>
        <v>6091.2</v>
      </c>
      <c r="O394" s="27">
        <f t="shared" si="308"/>
        <v>6091.2</v>
      </c>
      <c r="P394" s="27">
        <f t="shared" si="300"/>
        <v>-5676.3000000000011</v>
      </c>
      <c r="Q394" s="27">
        <f t="shared" si="309"/>
        <v>17651.699999999997</v>
      </c>
      <c r="R394" s="27">
        <f t="shared" si="301"/>
        <v>-20095.67875000001</v>
      </c>
      <c r="S394" s="16">
        <f t="shared" si="302"/>
        <v>0.9</v>
      </c>
      <c r="T394" s="27">
        <f t="shared" si="303"/>
        <v>15886.529999999997</v>
      </c>
      <c r="U394" s="27">
        <f t="shared" si="304"/>
        <v>-18086.110875000009</v>
      </c>
    </row>
    <row r="395" spans="1:21">
      <c r="B395" s="22">
        <v>0.15</v>
      </c>
      <c r="C395" s="23">
        <f t="shared" si="291"/>
        <v>6.4285714285714288</v>
      </c>
      <c r="D395" s="29">
        <f t="shared" si="305"/>
        <v>4.5592705167173252E-2</v>
      </c>
      <c r="E395" s="24">
        <f t="shared" si="292"/>
        <v>-4.6666666666666666E-4</v>
      </c>
      <c r="F395" s="17">
        <f t="shared" si="293"/>
        <v>6.2800000000000009E-2</v>
      </c>
      <c r="G395" s="25">
        <f t="shared" si="294"/>
        <v>4.0000000000000001E-3</v>
      </c>
      <c r="H395" s="25">
        <f t="shared" si="295"/>
        <v>1.3449999999999998E-2</v>
      </c>
      <c r="I395" s="25">
        <f t="shared" si="296"/>
        <v>4.6349999999999995E-2</v>
      </c>
      <c r="J395" s="26">
        <f t="shared" si="297"/>
        <v>80</v>
      </c>
      <c r="K395" s="26">
        <f t="shared" si="298"/>
        <v>80</v>
      </c>
      <c r="L395" s="26">
        <f t="shared" si="299"/>
        <v>80</v>
      </c>
      <c r="M395" s="27">
        <f t="shared" si="306"/>
        <v>11145.599999999997</v>
      </c>
      <c r="N395" s="27">
        <f t="shared" si="307"/>
        <v>6091.2</v>
      </c>
      <c r="O395" s="27">
        <f t="shared" si="308"/>
        <v>6091.2</v>
      </c>
      <c r="P395" s="27">
        <f t="shared" si="300"/>
        <v>-8514.4500000000007</v>
      </c>
      <c r="Q395" s="27">
        <f t="shared" si="309"/>
        <v>14813.549999999996</v>
      </c>
      <c r="R395" s="27">
        <f t="shared" si="301"/>
        <v>-29611.365000000016</v>
      </c>
      <c r="S395" s="16">
        <f t="shared" si="302"/>
        <v>0.9</v>
      </c>
      <c r="T395" s="27">
        <f t="shared" si="303"/>
        <v>13332.194999999996</v>
      </c>
      <c r="U395" s="27">
        <f t="shared" si="304"/>
        <v>-26650.228500000016</v>
      </c>
    </row>
    <row r="396" spans="1:21">
      <c r="B396" s="22">
        <v>0.2</v>
      </c>
      <c r="C396" s="23">
        <f t="shared" si="291"/>
        <v>8.571428571428573</v>
      </c>
      <c r="D396" s="29">
        <f t="shared" si="305"/>
        <v>6.0790273556231011E-2</v>
      </c>
      <c r="E396" s="24">
        <f t="shared" si="292"/>
        <v>-3.4999999999999994E-4</v>
      </c>
      <c r="F396" s="17">
        <f t="shared" si="293"/>
        <v>4.6349999999999988E-2</v>
      </c>
      <c r="G396" s="25">
        <f t="shared" si="294"/>
        <v>2.249999999999999E-3</v>
      </c>
      <c r="H396" s="25">
        <f t="shared" si="295"/>
        <v>9.3374999999999986E-3</v>
      </c>
      <c r="I396" s="25">
        <f t="shared" si="296"/>
        <v>3.4012499999999994E-2</v>
      </c>
      <c r="J396" s="26">
        <f t="shared" si="297"/>
        <v>65.249999999999972</v>
      </c>
      <c r="K396" s="26">
        <f t="shared" si="298"/>
        <v>80</v>
      </c>
      <c r="L396" s="26">
        <f t="shared" si="299"/>
        <v>80</v>
      </c>
      <c r="M396" s="27">
        <f t="shared" si="306"/>
        <v>9090.6299999999937</v>
      </c>
      <c r="N396" s="27">
        <f t="shared" si="307"/>
        <v>6091.2</v>
      </c>
      <c r="O396" s="27">
        <f t="shared" si="308"/>
        <v>6091.2</v>
      </c>
      <c r="P396" s="27">
        <f t="shared" si="300"/>
        <v>-11352.600000000002</v>
      </c>
      <c r="Q396" s="27">
        <f t="shared" si="309"/>
        <v>9920.429999999993</v>
      </c>
      <c r="R396" s="27">
        <f t="shared" si="301"/>
        <v>-43735.605875000016</v>
      </c>
      <c r="S396" s="16">
        <f t="shared" si="302"/>
        <v>0.9</v>
      </c>
      <c r="T396" s="27">
        <f t="shared" si="303"/>
        <v>8928.3869999999933</v>
      </c>
      <c r="U396" s="27">
        <f t="shared" si="304"/>
        <v>-39362.045287500012</v>
      </c>
    </row>
    <row r="397" spans="1:21">
      <c r="B397" s="22">
        <v>0.25</v>
      </c>
      <c r="C397" s="23">
        <f t="shared" si="291"/>
        <v>10.714285714285715</v>
      </c>
      <c r="D397" s="29">
        <f t="shared" si="305"/>
        <v>7.5987841945288764E-2</v>
      </c>
      <c r="E397" s="24">
        <f t="shared" si="292"/>
        <v>-2.7999999999999998E-4</v>
      </c>
      <c r="F397" s="17">
        <f t="shared" si="293"/>
        <v>3.6479999999999992E-2</v>
      </c>
      <c r="G397" s="25">
        <f t="shared" si="294"/>
        <v>1.1999999999999997E-3</v>
      </c>
      <c r="H397" s="25">
        <f t="shared" si="295"/>
        <v>6.8699999999999994E-3</v>
      </c>
      <c r="I397" s="25">
        <f t="shared" si="296"/>
        <v>2.6609999999999995E-2</v>
      </c>
      <c r="J397" s="26">
        <f t="shared" si="297"/>
        <v>34.79999999999999</v>
      </c>
      <c r="K397" s="26">
        <f t="shared" si="298"/>
        <v>80</v>
      </c>
      <c r="L397" s="26">
        <f t="shared" si="299"/>
        <v>80</v>
      </c>
      <c r="M397" s="27">
        <f t="shared" si="306"/>
        <v>4848.3359999999975</v>
      </c>
      <c r="N397" s="27">
        <f t="shared" si="307"/>
        <v>6091.2</v>
      </c>
      <c r="O397" s="27">
        <f t="shared" si="308"/>
        <v>6091.2</v>
      </c>
      <c r="P397" s="27">
        <f t="shared" si="300"/>
        <v>-14190.75</v>
      </c>
      <c r="Q397" s="27">
        <f t="shared" si="309"/>
        <v>2839.9859999999971</v>
      </c>
      <c r="R397" s="27">
        <f t="shared" si="301"/>
        <v>-62788.073050000006</v>
      </c>
      <c r="S397" s="16">
        <f t="shared" si="302"/>
        <v>0.9</v>
      </c>
      <c r="T397" s="27">
        <f t="shared" si="303"/>
        <v>2555.9873999999977</v>
      </c>
      <c r="U397" s="27">
        <f t="shared" si="304"/>
        <v>-56509.265745000004</v>
      </c>
    </row>
    <row r="398" spans="1:21">
      <c r="B398" s="22">
        <v>0.3</v>
      </c>
      <c r="C398" s="23">
        <f t="shared" si="291"/>
        <v>12.857142857142858</v>
      </c>
      <c r="D398" s="29">
        <f t="shared" si="305"/>
        <v>9.1185410334346503E-2</v>
      </c>
      <c r="E398" s="24">
        <f t="shared" si="292"/>
        <v>-2.3333333333333333E-4</v>
      </c>
      <c r="F398" s="17">
        <f t="shared" si="293"/>
        <v>2.9899999999999999E-2</v>
      </c>
      <c r="G398" s="25">
        <f t="shared" si="294"/>
        <v>4.999999999999999E-4</v>
      </c>
      <c r="H398" s="25">
        <f t="shared" si="295"/>
        <v>5.2249999999999996E-3</v>
      </c>
      <c r="I398" s="25">
        <f t="shared" si="296"/>
        <v>2.1675E-2</v>
      </c>
      <c r="J398" s="26">
        <f t="shared" si="297"/>
        <v>14.499999999999996</v>
      </c>
      <c r="K398" s="26">
        <f t="shared" si="298"/>
        <v>80</v>
      </c>
      <c r="L398" s="26">
        <f t="shared" si="299"/>
        <v>80</v>
      </c>
      <c r="M398" s="27">
        <f t="shared" si="306"/>
        <v>2020.139999999999</v>
      </c>
      <c r="N398" s="27">
        <f t="shared" si="307"/>
        <v>6091.2</v>
      </c>
      <c r="O398" s="27">
        <f t="shared" si="308"/>
        <v>6091.2</v>
      </c>
      <c r="P398" s="27">
        <f t="shared" si="300"/>
        <v>-17028.900000000001</v>
      </c>
      <c r="Q398" s="27">
        <f t="shared" si="309"/>
        <v>-2826.3600000000042</v>
      </c>
      <c r="R398" s="27">
        <f t="shared" si="301"/>
        <v>-78070.332000000009</v>
      </c>
      <c r="S398" s="16">
        <f t="shared" si="302"/>
        <v>0.9</v>
      </c>
      <c r="T398" s="27">
        <f t="shared" si="303"/>
        <v>-2543.7240000000038</v>
      </c>
      <c r="U398" s="27">
        <f t="shared" si="304"/>
        <v>-70263.298800000004</v>
      </c>
    </row>
    <row r="399" spans="1:21">
      <c r="B399" s="22">
        <v>0.35</v>
      </c>
      <c r="C399" s="23">
        <f t="shared" si="291"/>
        <v>15</v>
      </c>
      <c r="D399" s="29">
        <f t="shared" si="305"/>
        <v>0.10638297872340426</v>
      </c>
      <c r="E399" s="24">
        <f t="shared" si="292"/>
        <v>-2.0000000000000001E-4</v>
      </c>
      <c r="F399" s="17">
        <f t="shared" si="293"/>
        <v>2.52E-2</v>
      </c>
      <c r="G399" s="25">
        <f t="shared" si="294"/>
        <v>0</v>
      </c>
      <c r="H399" s="25">
        <f t="shared" si="295"/>
        <v>4.0499999999999998E-3</v>
      </c>
      <c r="I399" s="25">
        <f t="shared" si="296"/>
        <v>1.8149999999999999E-2</v>
      </c>
      <c r="J399" s="26">
        <f t="shared" si="297"/>
        <v>0</v>
      </c>
      <c r="K399" s="26">
        <f t="shared" si="298"/>
        <v>80</v>
      </c>
      <c r="L399" s="26">
        <f t="shared" si="299"/>
        <v>80</v>
      </c>
      <c r="M399" s="27">
        <f t="shared" si="306"/>
        <v>0</v>
      </c>
      <c r="N399" s="27">
        <f t="shared" si="307"/>
        <v>6091.2</v>
      </c>
      <c r="O399" s="27">
        <f t="shared" si="308"/>
        <v>6091.2</v>
      </c>
      <c r="P399" s="27">
        <f t="shared" si="300"/>
        <v>-19867.05</v>
      </c>
      <c r="Q399" s="27">
        <f t="shared" si="309"/>
        <v>-7684.65</v>
      </c>
      <c r="R399" s="27">
        <f t="shared" si="301"/>
        <v>-91046.142500000002</v>
      </c>
      <c r="S399" s="16">
        <f t="shared" si="302"/>
        <v>0.9</v>
      </c>
      <c r="T399" s="27">
        <f t="shared" si="303"/>
        <v>-6916.1849999999995</v>
      </c>
      <c r="U399" s="27">
        <f t="shared" si="304"/>
        <v>-81941.528250000003</v>
      </c>
    </row>
    <row r="400" spans="1:21">
      <c r="B400" s="22">
        <v>0.4</v>
      </c>
      <c r="C400" s="23">
        <f t="shared" si="291"/>
        <v>17.142857142857146</v>
      </c>
      <c r="D400" s="29">
        <f t="shared" si="305"/>
        <v>0.12158054711246202</v>
      </c>
      <c r="E400" s="24">
        <f t="shared" si="292"/>
        <v>-1.7499999999999997E-4</v>
      </c>
      <c r="F400" s="17">
        <f t="shared" si="293"/>
        <v>2.1674999999999996E-2</v>
      </c>
      <c r="G400" s="25">
        <f t="shared" si="294"/>
        <v>-3.750000000000005E-4</v>
      </c>
      <c r="H400" s="25">
        <f t="shared" si="295"/>
        <v>3.1687499999999988E-3</v>
      </c>
      <c r="I400" s="25">
        <f t="shared" si="296"/>
        <v>1.5506249999999997E-2</v>
      </c>
      <c r="J400" s="26">
        <f t="shared" si="297"/>
        <v>-10.875000000000014</v>
      </c>
      <c r="K400" s="26">
        <f t="shared" si="298"/>
        <v>80</v>
      </c>
      <c r="L400" s="26">
        <f t="shared" si="299"/>
        <v>80</v>
      </c>
      <c r="M400" s="27">
        <f t="shared" si="306"/>
        <v>-1515.1050000000016</v>
      </c>
      <c r="N400" s="27">
        <f t="shared" si="307"/>
        <v>6091.2</v>
      </c>
      <c r="O400" s="27">
        <f t="shared" si="308"/>
        <v>6091.2</v>
      </c>
      <c r="P400" s="27">
        <f t="shared" si="300"/>
        <v>-22705.200000000004</v>
      </c>
      <c r="Q400" s="27">
        <f t="shared" si="309"/>
        <v>-12037.905000000006</v>
      </c>
      <c r="R400" s="27">
        <f t="shared" si="301"/>
        <v>-102447.38443750003</v>
      </c>
      <c r="S400" s="16">
        <f t="shared" si="302"/>
        <v>0.9</v>
      </c>
      <c r="T400" s="27">
        <f t="shared" si="303"/>
        <v>-10834.114500000005</v>
      </c>
      <c r="U400" s="27">
        <f t="shared" si="304"/>
        <v>-92202.645993750033</v>
      </c>
    </row>
    <row r="401" spans="1:21">
      <c r="B401" s="22">
        <v>0.45</v>
      </c>
      <c r="C401" s="23">
        <f t="shared" si="291"/>
        <v>19.285714285714288</v>
      </c>
      <c r="D401" s="29">
        <f t="shared" si="305"/>
        <v>0.13677811550151978</v>
      </c>
      <c r="E401" s="24">
        <f t="shared" si="292"/>
        <v>-1.5555555555555554E-4</v>
      </c>
      <c r="F401" s="17">
        <f t="shared" si="293"/>
        <v>1.893333333333333E-2</v>
      </c>
      <c r="G401" s="25">
        <f t="shared" si="294"/>
        <v>-6.6666666666666697E-4</v>
      </c>
      <c r="H401" s="25">
        <f t="shared" si="295"/>
        <v>2.4833333333333326E-3</v>
      </c>
      <c r="I401" s="25">
        <f t="shared" si="296"/>
        <v>1.3449999999999997E-2</v>
      </c>
      <c r="J401" s="26">
        <f t="shared" si="297"/>
        <v>-19.333333333333343</v>
      </c>
      <c r="K401" s="26">
        <f t="shared" si="298"/>
        <v>72.016666666666652</v>
      </c>
      <c r="L401" s="26">
        <f t="shared" si="299"/>
        <v>80</v>
      </c>
      <c r="M401" s="27">
        <f t="shared" si="306"/>
        <v>-2693.5200000000004</v>
      </c>
      <c r="N401" s="27">
        <f t="shared" si="307"/>
        <v>5483.3489999999993</v>
      </c>
      <c r="O401" s="27">
        <f t="shared" si="308"/>
        <v>6091.2</v>
      </c>
      <c r="P401" s="27">
        <f t="shared" si="300"/>
        <v>-25543.350000000006</v>
      </c>
      <c r="Q401" s="27">
        <f t="shared" si="309"/>
        <v>-16662.321000000007</v>
      </c>
      <c r="R401" s="27">
        <f t="shared" si="301"/>
        <v>-113123.03820000002</v>
      </c>
      <c r="S401" s="16">
        <f t="shared" si="302"/>
        <v>0.9</v>
      </c>
      <c r="T401" s="27">
        <f t="shared" si="303"/>
        <v>-14996.088900000006</v>
      </c>
      <c r="U401" s="27">
        <f t="shared" si="304"/>
        <v>-101810.73438000002</v>
      </c>
    </row>
    <row r="402" spans="1:21">
      <c r="B402" s="22">
        <v>0.5</v>
      </c>
      <c r="C402" s="23">
        <f t="shared" si="291"/>
        <v>21.428571428571431</v>
      </c>
      <c r="D402" s="29">
        <f t="shared" si="305"/>
        <v>0.15197568389057753</v>
      </c>
      <c r="E402" s="24">
        <f t="shared" si="292"/>
        <v>-1.3999999999999999E-4</v>
      </c>
      <c r="F402" s="17">
        <f t="shared" si="293"/>
        <v>1.6739999999999998E-2</v>
      </c>
      <c r="G402" s="25">
        <f t="shared" si="294"/>
        <v>-9.0000000000000019E-4</v>
      </c>
      <c r="H402" s="25">
        <f t="shared" si="295"/>
        <v>1.9349999999999997E-3</v>
      </c>
      <c r="I402" s="25">
        <f t="shared" si="296"/>
        <v>1.1805E-2</v>
      </c>
      <c r="J402" s="26">
        <f t="shared" si="297"/>
        <v>-26.100000000000005</v>
      </c>
      <c r="K402" s="26">
        <f t="shared" si="298"/>
        <v>56.114999999999988</v>
      </c>
      <c r="L402" s="26">
        <f t="shared" si="299"/>
        <v>80</v>
      </c>
      <c r="M402" s="27">
        <f t="shared" si="306"/>
        <v>-3636.252</v>
      </c>
      <c r="N402" s="27">
        <f t="shared" si="307"/>
        <v>4272.5960999999988</v>
      </c>
      <c r="O402" s="27">
        <f t="shared" si="308"/>
        <v>6091.2</v>
      </c>
      <c r="P402" s="27">
        <f t="shared" si="300"/>
        <v>-28381.5</v>
      </c>
      <c r="Q402" s="27">
        <f t="shared" si="309"/>
        <v>-21653.955900000001</v>
      </c>
      <c r="R402" s="27">
        <f t="shared" si="301"/>
        <v>-123313.46190499999</v>
      </c>
      <c r="S402" s="16">
        <f t="shared" si="302"/>
        <v>0.9</v>
      </c>
      <c r="T402" s="27">
        <f t="shared" si="303"/>
        <v>-19488.560310000001</v>
      </c>
      <c r="U402" s="27">
        <f t="shared" si="304"/>
        <v>-110982.11571449999</v>
      </c>
    </row>
    <row r="403" spans="1:21">
      <c r="B403" s="22">
        <v>0.55000000000000004</v>
      </c>
      <c r="C403" s="23">
        <f t="shared" si="291"/>
        <v>23.571428571428573</v>
      </c>
      <c r="D403" s="29">
        <f t="shared" si="305"/>
        <v>0.16717325227963528</v>
      </c>
      <c r="E403" s="24">
        <f t="shared" si="292"/>
        <v>-1.2727272727272725E-4</v>
      </c>
      <c r="F403" s="17">
        <f t="shared" si="293"/>
        <v>1.4945454545454543E-2</v>
      </c>
      <c r="G403" s="25">
        <f t="shared" si="294"/>
        <v>-1.090909090909091E-3</v>
      </c>
      <c r="H403" s="25">
        <f t="shared" si="295"/>
        <v>1.4863636363636359E-3</v>
      </c>
      <c r="I403" s="25">
        <f t="shared" si="296"/>
        <v>1.0459090909090907E-2</v>
      </c>
      <c r="J403" s="26">
        <f t="shared" si="297"/>
        <v>-31.636363636363637</v>
      </c>
      <c r="K403" s="26">
        <f t="shared" si="298"/>
        <v>43.104545454545445</v>
      </c>
      <c r="L403" s="26">
        <f t="shared" si="299"/>
        <v>80</v>
      </c>
      <c r="M403" s="27">
        <f t="shared" si="306"/>
        <v>-4407.5781818181804</v>
      </c>
      <c r="N403" s="27">
        <f t="shared" si="307"/>
        <v>3281.98009090909</v>
      </c>
      <c r="O403" s="27">
        <f t="shared" si="308"/>
        <v>6091.2</v>
      </c>
      <c r="P403" s="27">
        <f t="shared" si="300"/>
        <v>-31219.65</v>
      </c>
      <c r="Q403" s="27">
        <f t="shared" si="309"/>
        <v>-26254.048090909091</v>
      </c>
      <c r="R403" s="27">
        <f t="shared" si="301"/>
        <v>-132574.91345909095</v>
      </c>
      <c r="S403" s="16">
        <f t="shared" si="302"/>
        <v>0.9</v>
      </c>
      <c r="T403" s="27">
        <f t="shared" si="303"/>
        <v>-23628.643281818182</v>
      </c>
      <c r="U403" s="27">
        <f t="shared" si="304"/>
        <v>-119317.42211318186</v>
      </c>
    </row>
    <row r="404" spans="1:21">
      <c r="B404" s="22">
        <v>0.6</v>
      </c>
      <c r="C404" s="23">
        <f t="shared" si="291"/>
        <v>25.714285714285715</v>
      </c>
      <c r="D404" s="29">
        <f t="shared" si="305"/>
        <v>0.18237082066869301</v>
      </c>
      <c r="E404" s="24">
        <f t="shared" si="292"/>
        <v>-1.1666666666666667E-4</v>
      </c>
      <c r="F404" s="17">
        <f t="shared" si="293"/>
        <v>1.3449999999999998E-2</v>
      </c>
      <c r="G404" s="25">
        <f t="shared" si="294"/>
        <v>-1.25E-3</v>
      </c>
      <c r="H404" s="25">
        <f t="shared" si="295"/>
        <v>1.1124999999999998E-3</v>
      </c>
      <c r="I404" s="25">
        <f t="shared" si="296"/>
        <v>9.3374999999999986E-3</v>
      </c>
      <c r="J404" s="26">
        <f t="shared" si="297"/>
        <v>-36.25</v>
      </c>
      <c r="K404" s="26">
        <f t="shared" si="298"/>
        <v>32.262499999999996</v>
      </c>
      <c r="L404" s="26">
        <f t="shared" si="299"/>
        <v>80</v>
      </c>
      <c r="M404" s="27">
        <f t="shared" si="306"/>
        <v>-5050.3499999999985</v>
      </c>
      <c r="N404" s="27">
        <f t="shared" si="307"/>
        <v>2456.4667499999996</v>
      </c>
      <c r="O404" s="27">
        <f t="shared" si="308"/>
        <v>6091.2</v>
      </c>
      <c r="P404" s="27">
        <f t="shared" si="300"/>
        <v>-34057.800000000003</v>
      </c>
      <c r="Q404" s="27">
        <f t="shared" si="309"/>
        <v>-30560.483250000001</v>
      </c>
      <c r="R404" s="27">
        <f t="shared" si="301"/>
        <v>-141050.94371250001</v>
      </c>
      <c r="S404" s="16">
        <f t="shared" si="302"/>
        <v>0.9</v>
      </c>
      <c r="T404" s="27">
        <f t="shared" si="303"/>
        <v>-27504.434925000001</v>
      </c>
      <c r="U404" s="27">
        <f t="shared" si="304"/>
        <v>-126945.84934125001</v>
      </c>
    </row>
    <row r="405" spans="1:21">
      <c r="B405" s="22">
        <v>0.65</v>
      </c>
      <c r="C405" s="23">
        <f t="shared" si="291"/>
        <v>27.857142857142861</v>
      </c>
      <c r="D405" s="29">
        <f t="shared" si="305"/>
        <v>0.19756838905775079</v>
      </c>
      <c r="E405" s="24">
        <f t="shared" si="292"/>
        <v>-1.0769230769230768E-4</v>
      </c>
      <c r="F405" s="17">
        <f t="shared" si="293"/>
        <v>1.2184615384615382E-2</v>
      </c>
      <c r="G405" s="25">
        <f t="shared" si="294"/>
        <v>-1.384615384615385E-3</v>
      </c>
      <c r="H405" s="25">
        <f t="shared" si="295"/>
        <v>7.9615384615384563E-4</v>
      </c>
      <c r="I405" s="25">
        <f t="shared" si="296"/>
        <v>8.3884615384615373E-3</v>
      </c>
      <c r="J405" s="26">
        <f t="shared" si="297"/>
        <v>-40.15384615384616</v>
      </c>
      <c r="K405" s="26">
        <f t="shared" si="298"/>
        <v>23.088461538461523</v>
      </c>
      <c r="L405" s="26">
        <f t="shared" si="299"/>
        <v>80</v>
      </c>
      <c r="M405" s="27">
        <f t="shared" si="306"/>
        <v>-5594.2338461538457</v>
      </c>
      <c r="N405" s="27">
        <f t="shared" si="307"/>
        <v>1757.9554615384604</v>
      </c>
      <c r="O405" s="27">
        <f t="shared" si="308"/>
        <v>6091.2</v>
      </c>
      <c r="P405" s="27">
        <f t="shared" si="300"/>
        <v>-36895.950000000004</v>
      </c>
      <c r="Q405" s="27">
        <f t="shared" si="309"/>
        <v>-34641.028384615391</v>
      </c>
      <c r="R405" s="27">
        <f t="shared" si="301"/>
        <v>-148840.93402307693</v>
      </c>
      <c r="S405" s="16">
        <f t="shared" si="302"/>
        <v>0.9</v>
      </c>
      <c r="T405" s="27">
        <f t="shared" si="303"/>
        <v>-31176.925546153852</v>
      </c>
      <c r="U405" s="27">
        <f t="shared" si="304"/>
        <v>-133956.84062076925</v>
      </c>
    </row>
    <row r="406" spans="1:21">
      <c r="B406" s="22">
        <v>0.7</v>
      </c>
      <c r="C406" s="23">
        <f t="shared" si="291"/>
        <v>30</v>
      </c>
      <c r="D406" s="29">
        <f t="shared" si="305"/>
        <v>0.21276595744680851</v>
      </c>
      <c r="E406" s="24">
        <f t="shared" si="292"/>
        <v>-1E-4</v>
      </c>
      <c r="F406" s="17">
        <f t="shared" si="293"/>
        <v>1.11E-2</v>
      </c>
      <c r="G406" s="25">
        <f t="shared" si="294"/>
        <v>-1.5E-3</v>
      </c>
      <c r="H406" s="25">
        <f t="shared" si="295"/>
        <v>5.2500000000000008E-4</v>
      </c>
      <c r="I406" s="25">
        <f t="shared" si="296"/>
        <v>7.5750000000000001E-3</v>
      </c>
      <c r="J406" s="26">
        <f t="shared" si="297"/>
        <v>-43.5</v>
      </c>
      <c r="K406" s="26">
        <f t="shared" si="298"/>
        <v>15.225000000000001</v>
      </c>
      <c r="L406" s="26">
        <f t="shared" si="299"/>
        <v>80</v>
      </c>
      <c r="M406" s="27">
        <f t="shared" si="306"/>
        <v>-6060.4199999999983</v>
      </c>
      <c r="N406" s="27">
        <f t="shared" si="307"/>
        <v>1159.2315000000001</v>
      </c>
      <c r="O406" s="27">
        <f t="shared" si="308"/>
        <v>6091.2</v>
      </c>
      <c r="P406" s="27">
        <f t="shared" si="300"/>
        <v>-39734.1</v>
      </c>
      <c r="Q406" s="27">
        <f t="shared" si="309"/>
        <v>-38544.088499999998</v>
      </c>
      <c r="R406" s="27">
        <f t="shared" si="301"/>
        <v>-156015.871075</v>
      </c>
      <c r="S406" s="16">
        <f t="shared" si="302"/>
        <v>0.9</v>
      </c>
      <c r="T406" s="27">
        <f t="shared" si="303"/>
        <v>-34689.679649999998</v>
      </c>
      <c r="U406" s="27">
        <f t="shared" si="304"/>
        <v>-140414.2839675</v>
      </c>
    </row>
    <row r="407" spans="1:21">
      <c r="B407" s="22">
        <v>0.75</v>
      </c>
      <c r="C407" s="23">
        <f t="shared" si="291"/>
        <v>32.142857142857139</v>
      </c>
      <c r="D407" s="29">
        <f t="shared" si="305"/>
        <v>0.22796352583586624</v>
      </c>
      <c r="E407" s="24">
        <f t="shared" si="292"/>
        <v>-9.3333333333333343E-5</v>
      </c>
      <c r="F407" s="17">
        <f t="shared" si="293"/>
        <v>1.0160000000000001E-2</v>
      </c>
      <c r="G407" s="25">
        <f t="shared" si="294"/>
        <v>-1.5999999999999999E-3</v>
      </c>
      <c r="H407" s="25">
        <f t="shared" si="295"/>
        <v>2.9000000000000044E-4</v>
      </c>
      <c r="I407" s="25">
        <f t="shared" si="296"/>
        <v>6.8700000000000011E-3</v>
      </c>
      <c r="J407" s="26">
        <f t="shared" si="297"/>
        <v>-46.4</v>
      </c>
      <c r="K407" s="26">
        <f t="shared" si="298"/>
        <v>8.4100000000000126</v>
      </c>
      <c r="L407" s="26">
        <f t="shared" si="299"/>
        <v>80</v>
      </c>
      <c r="M407" s="27">
        <f t="shared" si="306"/>
        <v>-6464.4479999999985</v>
      </c>
      <c r="N407" s="27">
        <f t="shared" si="307"/>
        <v>640.33740000000091</v>
      </c>
      <c r="O407" s="27">
        <f t="shared" si="308"/>
        <v>6091.2</v>
      </c>
      <c r="P407" s="27">
        <f t="shared" si="300"/>
        <v>-42572.249999999993</v>
      </c>
      <c r="Q407" s="27">
        <f t="shared" si="309"/>
        <v>-42305.160599999988</v>
      </c>
      <c r="R407" s="27">
        <f t="shared" si="301"/>
        <v>-162627.81177</v>
      </c>
      <c r="S407" s="16">
        <f t="shared" si="302"/>
        <v>0.9</v>
      </c>
      <c r="T407" s="27">
        <f t="shared" si="303"/>
        <v>-38074.644539999994</v>
      </c>
      <c r="U407" s="27">
        <f t="shared" si="304"/>
        <v>-146365.030593</v>
      </c>
    </row>
    <row r="408" spans="1:21">
      <c r="B408" s="22">
        <v>0.8</v>
      </c>
      <c r="C408" s="23">
        <f t="shared" si="291"/>
        <v>34.285714285714292</v>
      </c>
      <c r="D408" s="29">
        <f t="shared" si="305"/>
        <v>0.24316109422492405</v>
      </c>
      <c r="E408" s="24">
        <f t="shared" si="292"/>
        <v>-8.7499999999999986E-5</v>
      </c>
      <c r="F408" s="17">
        <f t="shared" si="293"/>
        <v>9.3374999999999986E-3</v>
      </c>
      <c r="G408" s="25">
        <f t="shared" si="294"/>
        <v>-1.6875000000000002E-3</v>
      </c>
      <c r="H408" s="25">
        <f t="shared" si="295"/>
        <v>8.4374999999999449E-5</v>
      </c>
      <c r="I408" s="25">
        <f t="shared" si="296"/>
        <v>6.2531249999999983E-3</v>
      </c>
      <c r="J408" s="26">
        <f t="shared" si="297"/>
        <v>-48.937500000000007</v>
      </c>
      <c r="K408" s="26">
        <f t="shared" si="298"/>
        <v>2.4468749999999839</v>
      </c>
      <c r="L408" s="26">
        <f t="shared" si="299"/>
        <v>80</v>
      </c>
      <c r="M408" s="27">
        <f t="shared" si="306"/>
        <v>-6817.9724999999989</v>
      </c>
      <c r="N408" s="27">
        <f t="shared" si="307"/>
        <v>186.30506249999877</v>
      </c>
      <c r="O408" s="27">
        <f t="shared" si="308"/>
        <v>6091.2</v>
      </c>
      <c r="P408" s="27">
        <f t="shared" si="300"/>
        <v>-45410.400000000009</v>
      </c>
      <c r="Q408" s="27">
        <f t="shared" si="309"/>
        <v>-45950.867437500012</v>
      </c>
      <c r="R408" s="27">
        <f t="shared" si="301"/>
        <v>-168715.79878437505</v>
      </c>
      <c r="S408" s="16">
        <f t="shared" si="302"/>
        <v>0.9</v>
      </c>
      <c r="T408" s="27">
        <f t="shared" si="303"/>
        <v>-41355.780693750014</v>
      </c>
      <c r="U408" s="27">
        <f t="shared" si="304"/>
        <v>-151844.21890593754</v>
      </c>
    </row>
    <row r="409" spans="1:21">
      <c r="B409" s="22">
        <v>0.85</v>
      </c>
      <c r="C409" s="23">
        <f t="shared" si="291"/>
        <v>36.428571428571431</v>
      </c>
      <c r="D409" s="29">
        <f t="shared" si="305"/>
        <v>0.25835866261398177</v>
      </c>
      <c r="E409" s="24">
        <f t="shared" si="292"/>
        <v>-8.2352941176470581E-5</v>
      </c>
      <c r="F409" s="17">
        <f t="shared" si="293"/>
        <v>8.6117647058823518E-3</v>
      </c>
      <c r="G409" s="25">
        <f t="shared" si="294"/>
        <v>-1.7647058823529412E-3</v>
      </c>
      <c r="H409" s="25">
        <f t="shared" si="295"/>
        <v>-9.7058823529411919E-5</v>
      </c>
      <c r="I409" s="25">
        <f t="shared" si="296"/>
        <v>5.7088235294117644E-3</v>
      </c>
      <c r="J409" s="26">
        <f t="shared" si="297"/>
        <v>-51.176470588235297</v>
      </c>
      <c r="K409" s="26">
        <f t="shared" si="298"/>
        <v>-2.8147058823529458</v>
      </c>
      <c r="L409" s="26">
        <f t="shared" si="299"/>
        <v>80</v>
      </c>
      <c r="M409" s="27">
        <f t="shared" si="306"/>
        <v>-7129.9058823529394</v>
      </c>
      <c r="N409" s="27">
        <f t="shared" si="307"/>
        <v>-214.31170588235329</v>
      </c>
      <c r="O409" s="27">
        <f t="shared" si="308"/>
        <v>6091.2</v>
      </c>
      <c r="P409" s="27">
        <f t="shared" si="300"/>
        <v>-48248.55</v>
      </c>
      <c r="Q409" s="27">
        <f t="shared" si="309"/>
        <v>-49501.567588235295</v>
      </c>
      <c r="R409" s="27">
        <f t="shared" si="301"/>
        <v>-174309.68828235296</v>
      </c>
      <c r="S409" s="16">
        <f t="shared" si="302"/>
        <v>0.9</v>
      </c>
      <c r="T409" s="27">
        <f t="shared" si="303"/>
        <v>-44551.410829411769</v>
      </c>
      <c r="U409" s="27">
        <f t="shared" si="304"/>
        <v>-156878.71945411767</v>
      </c>
    </row>
    <row r="410" spans="1:21">
      <c r="B410" s="22">
        <v>0.9</v>
      </c>
      <c r="C410" s="23">
        <f t="shared" si="291"/>
        <v>38.571428571428577</v>
      </c>
      <c r="D410" s="29">
        <f>C410/$D$10</f>
        <v>0.27355623100303955</v>
      </c>
      <c r="E410" s="24">
        <f t="shared" si="292"/>
        <v>-7.7777777777777768E-5</v>
      </c>
      <c r="F410" s="17">
        <f t="shared" si="293"/>
        <v>7.9666666666666653E-3</v>
      </c>
      <c r="G410" s="25">
        <f t="shared" si="294"/>
        <v>-1.8333333333333335E-3</v>
      </c>
      <c r="H410" s="25">
        <f t="shared" si="295"/>
        <v>-2.5833333333333372E-4</v>
      </c>
      <c r="I410" s="25">
        <f t="shared" si="296"/>
        <v>5.2249999999999987E-3</v>
      </c>
      <c r="J410" s="26">
        <f t="shared" si="297"/>
        <v>-53.166666666666671</v>
      </c>
      <c r="K410" s="26">
        <f t="shared" si="298"/>
        <v>-7.4916666666666778</v>
      </c>
      <c r="L410" s="26">
        <f t="shared" si="299"/>
        <v>80</v>
      </c>
      <c r="M410" s="27">
        <f t="shared" si="306"/>
        <v>-7407.1799999999985</v>
      </c>
      <c r="N410" s="27">
        <f t="shared" si="307"/>
        <v>-570.41550000000086</v>
      </c>
      <c r="O410" s="27">
        <f t="shared" si="308"/>
        <v>6091.2</v>
      </c>
      <c r="P410" s="27">
        <f t="shared" si="300"/>
        <v>-51086.700000000012</v>
      </c>
      <c r="Q410" s="27">
        <f t="shared" si="309"/>
        <v>-52973.09550000001</v>
      </c>
      <c r="R410" s="27">
        <f t="shared" si="301"/>
        <v>-179432.70172500005</v>
      </c>
      <c r="S410" s="16">
        <f t="shared" si="302"/>
        <v>0.9</v>
      </c>
      <c r="T410" s="27">
        <f t="shared" si="303"/>
        <v>-47675.785950000012</v>
      </c>
      <c r="U410" s="27">
        <f t="shared" si="304"/>
        <v>-161489.43155250006</v>
      </c>
    </row>
    <row r="412" spans="1:21">
      <c r="B412" s="18" t="s">
        <v>43</v>
      </c>
      <c r="C412" s="18" t="s">
        <v>37</v>
      </c>
      <c r="D412" s="18" t="s">
        <v>47</v>
      </c>
      <c r="E412" s="19" t="s">
        <v>19</v>
      </c>
      <c r="F412" s="19" t="s">
        <v>20</v>
      </c>
      <c r="G412" s="19" t="s">
        <v>21</v>
      </c>
      <c r="H412" s="19" t="s">
        <v>22</v>
      </c>
      <c r="I412" s="19" t="s">
        <v>23</v>
      </c>
      <c r="J412" s="19" t="s">
        <v>24</v>
      </c>
      <c r="K412" s="19" t="s">
        <v>25</v>
      </c>
      <c r="L412" s="19" t="s">
        <v>26</v>
      </c>
      <c r="M412" s="19" t="s">
        <v>27</v>
      </c>
      <c r="N412" s="19" t="s">
        <v>28</v>
      </c>
      <c r="O412" s="19" t="s">
        <v>29</v>
      </c>
      <c r="P412" s="19" t="s">
        <v>30</v>
      </c>
      <c r="Q412" s="19" t="s">
        <v>31</v>
      </c>
      <c r="R412" s="19" t="s">
        <v>32</v>
      </c>
      <c r="S412" s="19" t="s">
        <v>33</v>
      </c>
      <c r="T412" s="19"/>
      <c r="U412" s="19"/>
    </row>
    <row r="413" spans="1:21">
      <c r="C413" s="21" t="s">
        <v>14</v>
      </c>
      <c r="D413" s="21"/>
      <c r="E413" s="21" t="s">
        <v>39</v>
      </c>
      <c r="F413" s="20"/>
      <c r="G413" s="20"/>
      <c r="H413" s="20"/>
      <c r="I413" s="20"/>
      <c r="J413" s="21" t="s">
        <v>13</v>
      </c>
      <c r="K413" s="21" t="s">
        <v>13</v>
      </c>
      <c r="L413" s="21" t="s">
        <v>13</v>
      </c>
      <c r="M413" s="21" t="s">
        <v>41</v>
      </c>
      <c r="N413" s="21" t="s">
        <v>41</v>
      </c>
      <c r="O413" s="21" t="s">
        <v>41</v>
      </c>
      <c r="P413" s="21" t="s">
        <v>41</v>
      </c>
      <c r="Q413" s="21" t="s">
        <v>41</v>
      </c>
      <c r="R413" s="21" t="s">
        <v>42</v>
      </c>
      <c r="S413" s="21"/>
      <c r="T413" s="21"/>
      <c r="U413" s="21"/>
    </row>
    <row r="414" spans="1:21">
      <c r="A414" s="15" t="s">
        <v>44</v>
      </c>
      <c r="B414" s="22"/>
      <c r="C414" s="23"/>
      <c r="D414" s="23"/>
      <c r="E414" s="24"/>
      <c r="F414" s="17"/>
      <c r="G414" s="25"/>
      <c r="H414" s="25"/>
      <c r="I414" s="25"/>
      <c r="J414" s="26"/>
      <c r="K414" s="26"/>
      <c r="L414" s="26"/>
      <c r="M414" s="27"/>
      <c r="N414" s="27"/>
      <c r="O414" s="27"/>
      <c r="P414" s="27"/>
      <c r="Q414" s="27"/>
      <c r="R414" s="27"/>
      <c r="S414" s="16"/>
      <c r="T414" s="27"/>
      <c r="U414" s="27"/>
    </row>
    <row r="415" spans="1:21">
      <c r="B415" s="22">
        <v>1.0000000000000001E-5</v>
      </c>
      <c r="C415" s="30">
        <f>B415/$D$15*($D$10-$D$13)</f>
        <v>1.5857142857142858E-3</v>
      </c>
      <c r="D415" s="29">
        <f>C415/$D$10</f>
        <v>1.1246200607902737E-5</v>
      </c>
      <c r="E415" s="24">
        <f>-0.003/C415</f>
        <v>-1.8918918918918919</v>
      </c>
      <c r="F415" s="17">
        <f>E415*(C415-$D$10)</f>
        <v>266.75375675675679</v>
      </c>
      <c r="G415" s="25">
        <f>E415*(C415-$D$10+$D$20)</f>
        <v>238.37537837837837</v>
      </c>
      <c r="H415" s="25">
        <f>E415*(C415-$D$10+$D$21)</f>
        <v>200.06456756756756</v>
      </c>
      <c r="I415" s="25">
        <f>E415*(C415-$D$10+$D$22)</f>
        <v>66.686189189189193</v>
      </c>
      <c r="J415" s="26">
        <f>SIGN(G415)*MIN($D$8*ABS(G415),$D$7)</f>
        <v>80</v>
      </c>
      <c r="K415" s="26">
        <f>SIGN(H415)*MIN($D$8*ABS(H415),$D$7)</f>
        <v>80</v>
      </c>
      <c r="L415" s="26">
        <f>SIGN(I415)*MIN($D$8*ABS(I415),$D$7)</f>
        <v>80</v>
      </c>
      <c r="M415" s="27">
        <f>J415*$D$385</f>
        <v>11145.599999999997</v>
      </c>
      <c r="N415" s="27">
        <f>K415*$D$386*2</f>
        <v>6091.2</v>
      </c>
      <c r="O415" s="27">
        <f>L415*$D$387*2</f>
        <v>6091.2</v>
      </c>
      <c r="P415" s="9">
        <f>$D$15*C415*2*$D$12*(-0.85*$D$6)</f>
        <v>-0.39626999999999996</v>
      </c>
      <c r="Q415" s="27">
        <f>SUM(M415:P415)</f>
        <v>23327.603729999995</v>
      </c>
      <c r="R415" s="27">
        <f>(P415*(-$D$10+$D$18+$D$15*C415/2)+M415*($D$18-$D$20)+N415*($D$18-$D$21)+O415*($D$18-$D$22))/12</f>
        <v>3.2037145475042053</v>
      </c>
      <c r="S415" s="16">
        <f>MAX(0.65,MIN(0.9,0.65+(F415-0.002)*250/3))</f>
        <v>0.9</v>
      </c>
      <c r="T415" s="27">
        <f>Q415*S415</f>
        <v>20994.843356999998</v>
      </c>
      <c r="U415" s="27">
        <f>R415*S415</f>
        <v>2.8833430927537846</v>
      </c>
    </row>
    <row r="416" spans="1:21">
      <c r="B416" s="22">
        <v>0.05</v>
      </c>
      <c r="C416" s="26">
        <f t="shared" ref="C416:C433" si="310">B416/$D$15*($D$10-$D$13)</f>
        <v>7.9285714285714297</v>
      </c>
      <c r="D416" s="31">
        <f t="shared" ref="D416:D433" si="311">C416/$D$10</f>
        <v>5.6231003039513686E-2</v>
      </c>
      <c r="E416" s="24">
        <f t="shared" ref="E416:E433" si="312">-0.003/C416</f>
        <v>-3.7837837837837834E-4</v>
      </c>
      <c r="F416" s="17">
        <f t="shared" ref="F416:F433" si="313">E416*(C416-$D$10)</f>
        <v>5.0351351351351353E-2</v>
      </c>
      <c r="G416" s="25">
        <f t="shared" ref="G416:G433" si="314">E416*(C416-$D$10+$D$20)</f>
        <v>4.4675675675675673E-2</v>
      </c>
      <c r="H416" s="25">
        <f t="shared" ref="H416:H433" si="315">E416*(C416-$D$10+$D$21)</f>
        <v>3.7013513513513514E-2</v>
      </c>
      <c r="I416" s="25">
        <f t="shared" ref="I416:I433" si="316">E416*(C416-$D$10+$D$22)</f>
        <v>1.0337837837837842E-2</v>
      </c>
      <c r="J416" s="26">
        <f t="shared" ref="J416:J433" si="317">SIGN(G416)*MIN($D$8*ABS(G416),$D$7)</f>
        <v>80</v>
      </c>
      <c r="K416" s="26">
        <f t="shared" ref="K416:K433" si="318">SIGN(H416)*MIN($D$8*ABS(H416),$D$7)</f>
        <v>80</v>
      </c>
      <c r="L416" s="26">
        <f t="shared" ref="L416:L433" si="319">SIGN(I416)*MIN($D$8*ABS(I416),$D$7)</f>
        <v>80</v>
      </c>
      <c r="M416" s="27">
        <f t="shared" ref="M416:M433" si="320">J416*$D$385</f>
        <v>11145.599999999997</v>
      </c>
      <c r="N416" s="27">
        <f t="shared" ref="N416:N433" si="321">K416*$D$386*2</f>
        <v>6091.2</v>
      </c>
      <c r="O416" s="27">
        <f t="shared" ref="O416:O433" si="322">L416*$D$387*2</f>
        <v>6091.2</v>
      </c>
      <c r="P416" s="9">
        <f t="shared" ref="P416:P433" si="323">$D$15*C416*2*$D$12*(-0.85*$D$6)</f>
        <v>-1981.3500000000004</v>
      </c>
      <c r="Q416" s="27">
        <f t="shared" ref="Q416:Q433" si="324">SUM(M416:P416)</f>
        <v>21346.649999999994</v>
      </c>
      <c r="R416" s="27">
        <f t="shared" ref="R416:R433" si="325">(P416*(-$D$10+$D$18+$D$15*C416/2)+M416*($D$18-$D$20)+N416*($D$18-$D$21)+O416*($D$18-$D$22))/12</f>
        <v>15560.477187499995</v>
      </c>
      <c r="S416" s="16">
        <f t="shared" ref="S416:S433" si="326">MAX(0.65,MIN(0.9,0.65+(F416-0.002)*250/3))</f>
        <v>0.9</v>
      </c>
      <c r="T416" s="27">
        <f t="shared" ref="T416:T430" si="327">Q416*S416</f>
        <v>19211.984999999997</v>
      </c>
      <c r="U416" s="27">
        <f t="shared" ref="U416:U430" si="328">R416*S416</f>
        <v>14004.429468749995</v>
      </c>
    </row>
    <row r="417" spans="2:21">
      <c r="B417" s="22">
        <v>9.9900000000000003E-2</v>
      </c>
      <c r="C417" s="26">
        <f t="shared" si="310"/>
        <v>15.841285714285718</v>
      </c>
      <c r="D417" s="31">
        <f t="shared" si="311"/>
        <v>0.11234954407294835</v>
      </c>
      <c r="E417" s="24">
        <f t="shared" si="312"/>
        <v>-1.8937856775694609E-4</v>
      </c>
      <c r="F417" s="17">
        <f t="shared" si="313"/>
        <v>2.3702378053729399E-2</v>
      </c>
      <c r="G417" s="25">
        <f t="shared" si="314"/>
        <v>2.0861699537375208E-2</v>
      </c>
      <c r="H417" s="25">
        <f t="shared" si="315"/>
        <v>1.702678354029705E-2</v>
      </c>
      <c r="I417" s="25">
        <f t="shared" si="316"/>
        <v>3.6755945134323495E-3</v>
      </c>
      <c r="J417" s="26">
        <f t="shared" si="317"/>
        <v>80</v>
      </c>
      <c r="K417" s="26">
        <f t="shared" si="318"/>
        <v>80</v>
      </c>
      <c r="L417" s="26">
        <f t="shared" si="319"/>
        <v>80</v>
      </c>
      <c r="M417" s="27">
        <f t="shared" si="320"/>
        <v>11145.599999999997</v>
      </c>
      <c r="N417" s="27">
        <f t="shared" si="321"/>
        <v>6091.2</v>
      </c>
      <c r="O417" s="27">
        <f t="shared" si="322"/>
        <v>6091.2</v>
      </c>
      <c r="P417" s="9">
        <f t="shared" si="323"/>
        <v>-3958.7373000000011</v>
      </c>
      <c r="Q417" s="27">
        <f t="shared" si="324"/>
        <v>19369.262699999996</v>
      </c>
      <c r="R417" s="27">
        <f t="shared" si="325"/>
        <v>30176.206336001254</v>
      </c>
      <c r="S417" s="16">
        <f t="shared" si="326"/>
        <v>0.9</v>
      </c>
      <c r="T417" s="27">
        <f t="shared" si="327"/>
        <v>17432.336429999996</v>
      </c>
      <c r="U417" s="27">
        <f t="shared" si="328"/>
        <v>27158.585702401131</v>
      </c>
    </row>
    <row r="418" spans="2:21">
      <c r="B418" s="22">
        <v>0.14979999999999999</v>
      </c>
      <c r="C418" s="26">
        <f t="shared" si="310"/>
        <v>23.753999999999998</v>
      </c>
      <c r="D418" s="31">
        <f t="shared" si="311"/>
        <v>0.16846808510638298</v>
      </c>
      <c r="E418" s="24">
        <f t="shared" si="312"/>
        <v>-1.2629451881788332E-4</v>
      </c>
      <c r="F418" s="17">
        <f t="shared" si="313"/>
        <v>1.4807527153321549E-2</v>
      </c>
      <c r="G418" s="25">
        <f t="shared" si="314"/>
        <v>1.2913109371053298E-2</v>
      </c>
      <c r="H418" s="25">
        <f t="shared" si="315"/>
        <v>1.0355645364991161E-2</v>
      </c>
      <c r="I418" s="25">
        <f t="shared" si="316"/>
        <v>1.4518817883303879E-3</v>
      </c>
      <c r="J418" s="26">
        <f t="shared" si="317"/>
        <v>80</v>
      </c>
      <c r="K418" s="26">
        <f t="shared" si="318"/>
        <v>80</v>
      </c>
      <c r="L418" s="26">
        <f t="shared" si="319"/>
        <v>42.104571861581249</v>
      </c>
      <c r="M418" s="27">
        <f t="shared" si="320"/>
        <v>11145.599999999997</v>
      </c>
      <c r="N418" s="27">
        <f t="shared" si="321"/>
        <v>6091.2</v>
      </c>
      <c r="O418" s="27">
        <f t="shared" si="322"/>
        <v>3205.8421015407962</v>
      </c>
      <c r="P418" s="9">
        <f t="shared" si="323"/>
        <v>-5936.1245999999992</v>
      </c>
      <c r="Q418" s="27">
        <f t="shared" si="324"/>
        <v>14506.517501540791</v>
      </c>
      <c r="R418" s="27">
        <f t="shared" si="325"/>
        <v>58730.801235518615</v>
      </c>
      <c r="S418" s="16">
        <f t="shared" si="326"/>
        <v>0.9</v>
      </c>
      <c r="T418" s="27">
        <f t="shared" si="327"/>
        <v>13055.865751386713</v>
      </c>
      <c r="U418" s="27">
        <f t="shared" si="328"/>
        <v>52857.721111966755</v>
      </c>
    </row>
    <row r="419" spans="2:21">
      <c r="B419" s="22">
        <v>0.19969999999999999</v>
      </c>
      <c r="C419" s="26">
        <f t="shared" si="310"/>
        <v>31.666714285714288</v>
      </c>
      <c r="D419" s="31">
        <f t="shared" si="311"/>
        <v>0.22458662613981764</v>
      </c>
      <c r="E419" s="24">
        <f t="shared" si="312"/>
        <v>-9.4736699644060673E-5</v>
      </c>
      <c r="F419" s="17">
        <f t="shared" si="313"/>
        <v>1.0357874649812554E-2</v>
      </c>
      <c r="G419" s="25">
        <f t="shared" si="314"/>
        <v>8.9368241551516445E-3</v>
      </c>
      <c r="H419" s="25">
        <f t="shared" si="315"/>
        <v>7.0184059873594157E-3</v>
      </c>
      <c r="I419" s="25">
        <f t="shared" si="316"/>
        <v>3.3946866245313851E-4</v>
      </c>
      <c r="J419" s="26">
        <f t="shared" si="317"/>
        <v>80</v>
      </c>
      <c r="K419" s="26">
        <f t="shared" si="318"/>
        <v>80</v>
      </c>
      <c r="L419" s="26">
        <f t="shared" si="319"/>
        <v>9.844591211141017</v>
      </c>
      <c r="M419" s="27">
        <f t="shared" si="320"/>
        <v>11145.599999999997</v>
      </c>
      <c r="N419" s="27">
        <f t="shared" si="321"/>
        <v>6091.2</v>
      </c>
      <c r="O419" s="27">
        <f t="shared" si="322"/>
        <v>749.56717481627709</v>
      </c>
      <c r="P419" s="9">
        <f t="shared" si="323"/>
        <v>-7913.5119000000013</v>
      </c>
      <c r="Q419" s="27">
        <f t="shared" si="324"/>
        <v>10072.855274816273</v>
      </c>
      <c r="R419" s="27">
        <f t="shared" si="325"/>
        <v>84164.098184748582</v>
      </c>
      <c r="S419" s="16">
        <f t="shared" si="326"/>
        <v>0.9</v>
      </c>
      <c r="T419" s="27">
        <f t="shared" si="327"/>
        <v>9065.5697473346463</v>
      </c>
      <c r="U419" s="27">
        <f t="shared" si="328"/>
        <v>75747.688366273724</v>
      </c>
    </row>
    <row r="420" spans="2:21">
      <c r="B420" s="22">
        <v>0.24959999999999999</v>
      </c>
      <c r="C420" s="26">
        <f t="shared" si="310"/>
        <v>39.579428571428572</v>
      </c>
      <c r="D420" s="29">
        <f t="shared" si="311"/>
        <v>0.28070516717325228</v>
      </c>
      <c r="E420" s="24">
        <f t="shared" si="312"/>
        <v>-7.5796950796950792E-5</v>
      </c>
      <c r="F420" s="17">
        <f t="shared" si="313"/>
        <v>7.687370062370062E-3</v>
      </c>
      <c r="G420" s="25">
        <f t="shared" si="314"/>
        <v>6.5504158004158009E-3</v>
      </c>
      <c r="H420" s="25">
        <f t="shared" si="315"/>
        <v>5.0155275467775474E-3</v>
      </c>
      <c r="I420" s="25">
        <f t="shared" si="316"/>
        <v>-3.2815748440748389E-4</v>
      </c>
      <c r="J420" s="26">
        <f t="shared" si="317"/>
        <v>80</v>
      </c>
      <c r="K420" s="26">
        <f t="shared" si="318"/>
        <v>80</v>
      </c>
      <c r="L420" s="26">
        <f t="shared" si="319"/>
        <v>-9.5165670478170323</v>
      </c>
      <c r="M420" s="27">
        <f t="shared" si="320"/>
        <v>11145.599999999997</v>
      </c>
      <c r="N420" s="27">
        <f t="shared" si="321"/>
        <v>6091.2</v>
      </c>
      <c r="O420" s="27">
        <f t="shared" si="322"/>
        <v>-724.59141502078887</v>
      </c>
      <c r="P420" s="9">
        <f t="shared" si="323"/>
        <v>-9890.8991999999998</v>
      </c>
      <c r="Q420" s="27">
        <f t="shared" si="324"/>
        <v>6621.3093849792058</v>
      </c>
      <c r="R420" s="27">
        <f t="shared" si="325"/>
        <v>103629.51155694644</v>
      </c>
      <c r="S420" s="16">
        <f t="shared" si="326"/>
        <v>0.9</v>
      </c>
      <c r="T420" s="27">
        <f t="shared" si="327"/>
        <v>5959.1784464812854</v>
      </c>
      <c r="U420" s="27">
        <f t="shared" si="328"/>
        <v>93266.560401251802</v>
      </c>
    </row>
    <row r="421" spans="2:21">
      <c r="B421" s="22">
        <v>0.29949999999999999</v>
      </c>
      <c r="C421" s="26">
        <f t="shared" si="310"/>
        <v>47.492142857142859</v>
      </c>
      <c r="D421" s="29">
        <f t="shared" si="311"/>
        <v>0.33682370820668694</v>
      </c>
      <c r="E421" s="24">
        <f t="shared" si="312"/>
        <v>-6.3168343635789382E-5</v>
      </c>
      <c r="F421" s="17">
        <f t="shared" si="313"/>
        <v>5.9067364526463034E-3</v>
      </c>
      <c r="G421" s="25">
        <f t="shared" si="314"/>
        <v>4.9592112981094623E-3</v>
      </c>
      <c r="H421" s="25">
        <f t="shared" si="315"/>
        <v>3.6800523394847273E-3</v>
      </c>
      <c r="I421" s="25">
        <f t="shared" si="316"/>
        <v>-7.733158868384241E-4</v>
      </c>
      <c r="J421" s="26">
        <f t="shared" si="317"/>
        <v>80</v>
      </c>
      <c r="K421" s="26">
        <f t="shared" si="318"/>
        <v>80</v>
      </c>
      <c r="L421" s="26">
        <f t="shared" si="319"/>
        <v>-22.4261607183143</v>
      </c>
      <c r="M421" s="27">
        <f t="shared" si="320"/>
        <v>11145.599999999997</v>
      </c>
      <c r="N421" s="27">
        <f t="shared" si="321"/>
        <v>6091.2</v>
      </c>
      <c r="O421" s="27">
        <f t="shared" si="322"/>
        <v>-1707.5278770924508</v>
      </c>
      <c r="P421" s="9">
        <f t="shared" si="323"/>
        <v>-11868.2865</v>
      </c>
      <c r="Q421" s="27">
        <f t="shared" si="324"/>
        <v>3660.9856229075449</v>
      </c>
      <c r="R421" s="27">
        <f t="shared" si="325"/>
        <v>119653.78293406544</v>
      </c>
      <c r="S421" s="16">
        <f t="shared" si="326"/>
        <v>0.9</v>
      </c>
      <c r="T421" s="27">
        <f t="shared" si="327"/>
        <v>3294.8870606167907</v>
      </c>
      <c r="U421" s="27">
        <f t="shared" si="328"/>
        <v>107688.4046406589</v>
      </c>
    </row>
    <row r="422" spans="2:21">
      <c r="B422" s="22">
        <v>0.34939999999999999</v>
      </c>
      <c r="C422" s="26">
        <f t="shared" si="310"/>
        <v>55.404857142857146</v>
      </c>
      <c r="D422" s="29">
        <f t="shared" si="311"/>
        <v>0.39294224924012161</v>
      </c>
      <c r="E422" s="24">
        <f t="shared" si="312"/>
        <v>-5.4146877272235026E-5</v>
      </c>
      <c r="F422" s="17">
        <f t="shared" si="313"/>
        <v>4.6347096953851391E-3</v>
      </c>
      <c r="G422" s="25">
        <f t="shared" si="314"/>
        <v>3.8225065363016136E-3</v>
      </c>
      <c r="H422" s="25">
        <f t="shared" si="315"/>
        <v>2.7260322715388545E-3</v>
      </c>
      <c r="I422" s="25">
        <f t="shared" si="316"/>
        <v>-1.0913225761537151E-3</v>
      </c>
      <c r="J422" s="26">
        <f t="shared" si="317"/>
        <v>80</v>
      </c>
      <c r="K422" s="26">
        <f t="shared" si="318"/>
        <v>79.054935874626779</v>
      </c>
      <c r="L422" s="26">
        <f t="shared" si="319"/>
        <v>-31.648354708457738</v>
      </c>
      <c r="M422" s="27">
        <f t="shared" si="320"/>
        <v>11145.599999999997</v>
      </c>
      <c r="N422" s="27">
        <f t="shared" si="321"/>
        <v>6019.2428174940833</v>
      </c>
      <c r="O422" s="27">
        <f t="shared" si="322"/>
        <v>-2409.705727501972</v>
      </c>
      <c r="P422" s="9">
        <f t="shared" si="323"/>
        <v>-13845.6738</v>
      </c>
      <c r="Q422" s="27">
        <f t="shared" si="324"/>
        <v>909.46328999210527</v>
      </c>
      <c r="R422" s="27">
        <f t="shared" si="325"/>
        <v>133267.84596478002</v>
      </c>
      <c r="S422" s="16">
        <f t="shared" si="326"/>
        <v>0.86955914128209499</v>
      </c>
      <c r="T422" s="27">
        <f t="shared" si="327"/>
        <v>790.83211747312396</v>
      </c>
      <c r="U422" s="27">
        <f t="shared" si="328"/>
        <v>115884.27369764862</v>
      </c>
    </row>
    <row r="423" spans="2:21">
      <c r="B423" s="22">
        <v>0.39929999999999999</v>
      </c>
      <c r="C423" s="26">
        <f t="shared" si="310"/>
        <v>63.317571428571426</v>
      </c>
      <c r="D423" s="29">
        <f t="shared" si="311"/>
        <v>0.44906079027355622</v>
      </c>
      <c r="E423" s="24">
        <f t="shared" si="312"/>
        <v>-4.7380212669468872E-5</v>
      </c>
      <c r="F423" s="17">
        <f t="shared" si="313"/>
        <v>3.6806099863951106E-3</v>
      </c>
      <c r="G423" s="25">
        <f t="shared" si="314"/>
        <v>2.9699067963530777E-3</v>
      </c>
      <c r="H423" s="25">
        <f t="shared" si="315"/>
        <v>2.010457489796333E-3</v>
      </c>
      <c r="I423" s="25">
        <f t="shared" si="316"/>
        <v>-1.3298475034012225E-3</v>
      </c>
      <c r="J423" s="26">
        <f t="shared" si="317"/>
        <v>80</v>
      </c>
      <c r="K423" s="26">
        <f t="shared" si="318"/>
        <v>58.303267204093657</v>
      </c>
      <c r="L423" s="26">
        <f t="shared" si="319"/>
        <v>-38.56557759863545</v>
      </c>
      <c r="M423" s="27">
        <f t="shared" si="320"/>
        <v>11145.599999999997</v>
      </c>
      <c r="N423" s="27">
        <f t="shared" si="321"/>
        <v>4439.2107649196914</v>
      </c>
      <c r="O423" s="27">
        <f t="shared" si="322"/>
        <v>-2936.3830783601034</v>
      </c>
      <c r="P423" s="9">
        <f t="shared" si="323"/>
        <v>-15823.061099999999</v>
      </c>
      <c r="Q423" s="27">
        <f t="shared" si="324"/>
        <v>-3174.6334134404133</v>
      </c>
      <c r="R423" s="27">
        <f t="shared" si="325"/>
        <v>143968.31300353407</v>
      </c>
      <c r="S423" s="16">
        <f t="shared" si="326"/>
        <v>0.7900508321995926</v>
      </c>
      <c r="T423" s="27">
        <f t="shared" si="327"/>
        <v>-2508.1217702172316</v>
      </c>
      <c r="U423" s="27">
        <f t="shared" si="328"/>
        <v>113742.28549881352</v>
      </c>
    </row>
    <row r="424" spans="2:21">
      <c r="B424" s="22">
        <v>0.44919999999999999</v>
      </c>
      <c r="C424" s="26">
        <f t="shared" si="310"/>
        <v>71.230285714285728</v>
      </c>
      <c r="D424" s="29">
        <f t="shared" si="311"/>
        <v>0.505179331306991</v>
      </c>
      <c r="E424" s="24">
        <f t="shared" si="312"/>
        <v>-4.2116916560371587E-5</v>
      </c>
      <c r="F424" s="17">
        <f t="shared" si="313"/>
        <v>2.9384852350123935E-3</v>
      </c>
      <c r="G424" s="25">
        <f t="shared" si="314"/>
        <v>2.3067314866068197E-3</v>
      </c>
      <c r="H424" s="25">
        <f t="shared" si="315"/>
        <v>1.4538639262592951E-3</v>
      </c>
      <c r="I424" s="25">
        <f t="shared" si="316"/>
        <v>-1.5153786912469019E-3</v>
      </c>
      <c r="J424" s="26">
        <f t="shared" si="317"/>
        <v>66.895213111597769</v>
      </c>
      <c r="K424" s="26">
        <f t="shared" si="318"/>
        <v>42.16205386151956</v>
      </c>
      <c r="L424" s="26">
        <f t="shared" si="319"/>
        <v>-43.945982046160154</v>
      </c>
      <c r="M424" s="27">
        <f t="shared" si="320"/>
        <v>9319.8410907077996</v>
      </c>
      <c r="N424" s="27">
        <f t="shared" si="321"/>
        <v>3210.2187810160995</v>
      </c>
      <c r="O424" s="27">
        <f t="shared" si="322"/>
        <v>-3346.0470729946342</v>
      </c>
      <c r="P424" s="9">
        <f t="shared" si="323"/>
        <v>-17800.448400000001</v>
      </c>
      <c r="Q424" s="27">
        <f t="shared" si="324"/>
        <v>-8616.4356012707358</v>
      </c>
      <c r="R424" s="27">
        <f t="shared" si="325"/>
        <v>148999.53799173475</v>
      </c>
      <c r="S424" s="16">
        <f t="shared" si="326"/>
        <v>0.72820710291769952</v>
      </c>
      <c r="T424" s="27">
        <f t="shared" si="327"/>
        <v>-6274.5496066782889</v>
      </c>
      <c r="U424" s="27">
        <f t="shared" si="328"/>
        <v>108502.52189703686</v>
      </c>
    </row>
    <row r="425" spans="2:21">
      <c r="B425" s="22">
        <v>0.49909999999999999</v>
      </c>
      <c r="C425" s="26">
        <f t="shared" si="310"/>
        <v>79.143000000000015</v>
      </c>
      <c r="D425" s="29">
        <f t="shared" si="311"/>
        <v>0.56129787234042561</v>
      </c>
      <c r="E425" s="24">
        <f t="shared" si="312"/>
        <v>-3.7906068761608724E-5</v>
      </c>
      <c r="F425" s="17">
        <f t="shared" si="313"/>
        <v>2.3447556953868302E-3</v>
      </c>
      <c r="G425" s="25">
        <f t="shared" si="314"/>
        <v>1.7761646639626995E-3</v>
      </c>
      <c r="H425" s="25">
        <f t="shared" si="315"/>
        <v>1.0085667715401228E-3</v>
      </c>
      <c r="I425" s="25">
        <f t="shared" si="316"/>
        <v>-1.6638110761532923E-3</v>
      </c>
      <c r="J425" s="26">
        <f t="shared" si="317"/>
        <v>51.508775254918284</v>
      </c>
      <c r="K425" s="26">
        <f t="shared" si="318"/>
        <v>29.248436374663562</v>
      </c>
      <c r="L425" s="26">
        <f t="shared" si="319"/>
        <v>-48.250521208445477</v>
      </c>
      <c r="M425" s="27">
        <f t="shared" si="320"/>
        <v>7176.2025685152139</v>
      </c>
      <c r="N425" s="27">
        <f t="shared" si="321"/>
        <v>2226.9759455668836</v>
      </c>
      <c r="O425" s="27">
        <f t="shared" si="322"/>
        <v>-3673.7946848110387</v>
      </c>
      <c r="P425" s="9">
        <f t="shared" si="323"/>
        <v>-19777.835700000003</v>
      </c>
      <c r="Q425" s="27">
        <f t="shared" si="324"/>
        <v>-14048.451870728944</v>
      </c>
      <c r="R425" s="27">
        <f t="shared" si="325"/>
        <v>152107.49181503835</v>
      </c>
      <c r="S425" s="16">
        <f t="shared" si="326"/>
        <v>0.6787296412822359</v>
      </c>
      <c r="T425" s="27">
        <f t="shared" si="327"/>
        <v>-9535.100698790613</v>
      </c>
      <c r="U425" s="27">
        <f t="shared" si="328"/>
        <v>103239.86335596161</v>
      </c>
    </row>
    <row r="426" spans="2:21">
      <c r="B426" s="22">
        <v>0.54900000000000004</v>
      </c>
      <c r="C426" s="26">
        <f t="shared" si="310"/>
        <v>87.055714285714288</v>
      </c>
      <c r="D426" s="29">
        <f t="shared" si="311"/>
        <v>0.61741641337386022</v>
      </c>
      <c r="E426" s="24">
        <f t="shared" si="312"/>
        <v>-3.4460690198395119E-5</v>
      </c>
      <c r="F426" s="17">
        <f t="shared" si="313"/>
        <v>1.8589573179737114E-3</v>
      </c>
      <c r="G426" s="25">
        <f t="shared" si="314"/>
        <v>1.3420469649977848E-3</v>
      </c>
      <c r="H426" s="25">
        <f t="shared" si="315"/>
        <v>6.4421798848028351E-4</v>
      </c>
      <c r="I426" s="25">
        <f t="shared" si="316"/>
        <v>-1.7852606705065725E-3</v>
      </c>
      <c r="J426" s="26">
        <f t="shared" si="317"/>
        <v>38.919361984935755</v>
      </c>
      <c r="K426" s="26">
        <f t="shared" si="318"/>
        <v>18.682321665928221</v>
      </c>
      <c r="L426" s="26">
        <f t="shared" si="319"/>
        <v>-51.7725594446906</v>
      </c>
      <c r="M426" s="27">
        <f t="shared" si="320"/>
        <v>5422.2455117412483</v>
      </c>
      <c r="N426" s="27">
        <f t="shared" si="321"/>
        <v>1422.4719716437749</v>
      </c>
      <c r="O426" s="27">
        <f t="shared" si="322"/>
        <v>-3941.9626761187424</v>
      </c>
      <c r="P426" s="9">
        <f t="shared" si="323"/>
        <v>-21755.223000000002</v>
      </c>
      <c r="Q426" s="27">
        <f t="shared" si="324"/>
        <v>-18852.468192733722</v>
      </c>
      <c r="R426" s="27">
        <f t="shared" si="325"/>
        <v>155067.33470395202</v>
      </c>
      <c r="S426" s="16">
        <f t="shared" si="326"/>
        <v>0.65</v>
      </c>
      <c r="T426" s="27">
        <f t="shared" si="327"/>
        <v>-12254.10432527692</v>
      </c>
      <c r="U426" s="27">
        <f t="shared" si="328"/>
        <v>100793.76755756882</v>
      </c>
    </row>
    <row r="427" spans="2:21">
      <c r="B427" s="22">
        <v>0.59889999999999999</v>
      </c>
      <c r="C427" s="26">
        <f t="shared" si="310"/>
        <v>94.968428571428575</v>
      </c>
      <c r="D427" s="29">
        <f t="shared" si="311"/>
        <v>0.67353495440729483</v>
      </c>
      <c r="E427" s="24">
        <f t="shared" si="312"/>
        <v>-3.1589445514975652E-5</v>
      </c>
      <c r="F427" s="17">
        <f t="shared" si="313"/>
        <v>1.4541118176115669E-3</v>
      </c>
      <c r="G427" s="25">
        <f t="shared" si="314"/>
        <v>9.8027013488693224E-4</v>
      </c>
      <c r="H427" s="25">
        <f t="shared" si="315"/>
        <v>3.4058386320867521E-4</v>
      </c>
      <c r="I427" s="25">
        <f t="shared" si="316"/>
        <v>-1.8864720455971083E-3</v>
      </c>
      <c r="J427" s="26">
        <f t="shared" si="317"/>
        <v>28.427833911721034</v>
      </c>
      <c r="K427" s="26">
        <f t="shared" si="318"/>
        <v>9.8769320330515811</v>
      </c>
      <c r="L427" s="26">
        <f t="shared" si="319"/>
        <v>-54.707689322316142</v>
      </c>
      <c r="M427" s="27">
        <f t="shared" si="320"/>
        <v>3960.5658205809737</v>
      </c>
      <c r="N427" s="27">
        <f t="shared" si="321"/>
        <v>752.02960499654739</v>
      </c>
      <c r="O427" s="27">
        <f t="shared" si="322"/>
        <v>-4165.4434650011508</v>
      </c>
      <c r="P427" s="9">
        <f t="shared" si="323"/>
        <v>-23732.610300000004</v>
      </c>
      <c r="Q427" s="27">
        <f t="shared" si="324"/>
        <v>-23185.458339423632</v>
      </c>
      <c r="R427" s="27">
        <f t="shared" si="325"/>
        <v>157687.94817323843</v>
      </c>
      <c r="S427" s="16">
        <f t="shared" si="326"/>
        <v>0.65</v>
      </c>
      <c r="T427" s="27">
        <f t="shared" si="327"/>
        <v>-15070.547920625362</v>
      </c>
      <c r="U427" s="27">
        <f t="shared" si="328"/>
        <v>102497.16631260498</v>
      </c>
    </row>
    <row r="428" spans="2:21">
      <c r="B428" s="22">
        <v>0.64880000000000004</v>
      </c>
      <c r="C428" s="26">
        <f t="shared" si="310"/>
        <v>102.88114285714286</v>
      </c>
      <c r="D428" s="29">
        <f t="shared" si="311"/>
        <v>0.72965349544072955</v>
      </c>
      <c r="E428" s="24">
        <f t="shared" si="312"/>
        <v>-2.9159862698703635E-5</v>
      </c>
      <c r="F428" s="17">
        <f t="shared" si="313"/>
        <v>1.1115406405172125E-3</v>
      </c>
      <c r="G428" s="25">
        <f t="shared" si="314"/>
        <v>6.7414270003665795E-4</v>
      </c>
      <c r="H428" s="25">
        <f t="shared" si="315"/>
        <v>8.3655480387909341E-5</v>
      </c>
      <c r="I428" s="25">
        <f t="shared" si="316"/>
        <v>-1.9721148398706969E-3</v>
      </c>
      <c r="J428" s="26">
        <f t="shared" si="317"/>
        <v>19.550138301063079</v>
      </c>
      <c r="K428" s="26">
        <f t="shared" si="318"/>
        <v>2.4260089312493709</v>
      </c>
      <c r="L428" s="26">
        <f t="shared" si="319"/>
        <v>-57.191330356250212</v>
      </c>
      <c r="M428" s="27">
        <f t="shared" si="320"/>
        <v>2723.7252681041073</v>
      </c>
      <c r="N428" s="27">
        <f t="shared" si="321"/>
        <v>184.71632002532709</v>
      </c>
      <c r="O428" s="27">
        <f t="shared" si="322"/>
        <v>-4354.5478933248914</v>
      </c>
      <c r="P428" s="9">
        <f t="shared" si="323"/>
        <v>-25709.997599999999</v>
      </c>
      <c r="Q428" s="27">
        <f t="shared" si="324"/>
        <v>-27156.103905195458</v>
      </c>
      <c r="R428" s="27">
        <f t="shared" si="325"/>
        <v>159837.01036166385</v>
      </c>
      <c r="S428" s="16">
        <f t="shared" si="326"/>
        <v>0.65</v>
      </c>
      <c r="T428" s="27">
        <f t="shared" si="327"/>
        <v>-17651.467538377048</v>
      </c>
      <c r="U428" s="27">
        <f t="shared" si="328"/>
        <v>103894.05673508151</v>
      </c>
    </row>
    <row r="429" spans="2:21">
      <c r="B429" s="22">
        <v>0.69869999999999999</v>
      </c>
      <c r="C429" s="26">
        <f t="shared" si="310"/>
        <v>110.79385714285715</v>
      </c>
      <c r="D429" s="29">
        <f t="shared" si="311"/>
        <v>0.78577203647416416</v>
      </c>
      <c r="E429" s="24">
        <f t="shared" si="312"/>
        <v>-2.7077313466321624E-5</v>
      </c>
      <c r="F429" s="17">
        <f t="shared" si="313"/>
        <v>8.1790119875134882E-4</v>
      </c>
      <c r="G429" s="25">
        <f t="shared" si="314"/>
        <v>4.1174149675652451E-4</v>
      </c>
      <c r="H429" s="25">
        <f t="shared" si="315"/>
        <v>-1.365741009364884E-4</v>
      </c>
      <c r="I429" s="25">
        <f t="shared" si="316"/>
        <v>-2.0455247003121628E-3</v>
      </c>
      <c r="J429" s="26">
        <f t="shared" si="317"/>
        <v>11.940503405939211</v>
      </c>
      <c r="K429" s="26">
        <f t="shared" si="318"/>
        <v>-3.9606489271581635</v>
      </c>
      <c r="L429" s="26">
        <f t="shared" si="319"/>
        <v>-59.320216309052725</v>
      </c>
      <c r="M429" s="27">
        <f t="shared" si="320"/>
        <v>1663.5509345154505</v>
      </c>
      <c r="N429" s="27">
        <f t="shared" si="321"/>
        <v>-301.56380931382256</v>
      </c>
      <c r="O429" s="27">
        <f t="shared" si="322"/>
        <v>-4516.6412697712749</v>
      </c>
      <c r="P429" s="9">
        <f t="shared" si="323"/>
        <v>-27687.384900000005</v>
      </c>
      <c r="Q429" s="27">
        <f t="shared" si="324"/>
        <v>-30842.03904456965</v>
      </c>
      <c r="R429" s="27">
        <f t="shared" si="325"/>
        <v>161420.00024311998</v>
      </c>
      <c r="S429" s="16">
        <f t="shared" si="326"/>
        <v>0.65</v>
      </c>
      <c r="T429" s="27">
        <f t="shared" si="327"/>
        <v>-20047.325378970272</v>
      </c>
      <c r="U429" s="27">
        <f t="shared" si="328"/>
        <v>104923.00015802799</v>
      </c>
    </row>
    <row r="430" spans="2:21">
      <c r="B430" s="22">
        <v>0.74860000000000004</v>
      </c>
      <c r="C430" s="26">
        <f t="shared" si="310"/>
        <v>118.70657142857145</v>
      </c>
      <c r="D430" s="29">
        <f t="shared" si="311"/>
        <v>0.84189057750759899</v>
      </c>
      <c r="E430" s="24">
        <f t="shared" si="312"/>
        <v>-2.5272400372587383E-5</v>
      </c>
      <c r="F430" s="17">
        <f t="shared" si="313"/>
        <v>5.6340845253482108E-4</v>
      </c>
      <c r="G430" s="25">
        <f t="shared" si="314"/>
        <v>1.8432244694601034E-4</v>
      </c>
      <c r="H430" s="25">
        <f t="shared" si="315"/>
        <v>-3.2744366059888415E-4</v>
      </c>
      <c r="I430" s="25">
        <f t="shared" si="316"/>
        <v>-2.1091478868662948E-3</v>
      </c>
      <c r="J430" s="26">
        <f t="shared" si="317"/>
        <v>5.3453509614343</v>
      </c>
      <c r="K430" s="26">
        <f t="shared" si="318"/>
        <v>-9.4958661573676402</v>
      </c>
      <c r="L430" s="26">
        <f t="shared" si="319"/>
        <v>-61.16528871912255</v>
      </c>
      <c r="M430" s="27">
        <f t="shared" si="320"/>
        <v>744.71429594702647</v>
      </c>
      <c r="N430" s="27">
        <f t="shared" si="321"/>
        <v>-723.01524922197211</v>
      </c>
      <c r="O430" s="27">
        <f t="shared" si="322"/>
        <v>-4657.1250830739909</v>
      </c>
      <c r="P430" s="9">
        <f t="shared" si="323"/>
        <v>-29664.77220000001</v>
      </c>
      <c r="Q430" s="27">
        <f t="shared" si="324"/>
        <v>-34300.198236348944</v>
      </c>
      <c r="R430" s="27">
        <f t="shared" si="325"/>
        <v>162367.59903142805</v>
      </c>
      <c r="S430" s="16">
        <f t="shared" si="326"/>
        <v>0.65</v>
      </c>
      <c r="T430" s="27">
        <f t="shared" si="327"/>
        <v>-22295.128853626815</v>
      </c>
      <c r="U430" s="27">
        <f t="shared" si="328"/>
        <v>105538.93937042824</v>
      </c>
    </row>
    <row r="431" spans="2:21">
      <c r="B431" s="22">
        <v>0.8</v>
      </c>
      <c r="C431" s="26">
        <f t="shared" si="310"/>
        <v>126.85714285714288</v>
      </c>
      <c r="D431" s="29">
        <f t="shared" si="311"/>
        <v>0.89969604863221897</v>
      </c>
      <c r="E431" s="24">
        <f t="shared" si="312"/>
        <v>-2.3648648648648646E-5</v>
      </c>
      <c r="F431" s="17">
        <f t="shared" si="313"/>
        <v>3.3445945945945898E-4</v>
      </c>
      <c r="G431" s="25">
        <f t="shared" si="314"/>
        <v>-2.02702702702707E-5</v>
      </c>
      <c r="H431" s="25">
        <f t="shared" si="315"/>
        <v>-4.9915540540540579E-4</v>
      </c>
      <c r="I431" s="25">
        <f t="shared" si="316"/>
        <v>-2.1663851351351356E-3</v>
      </c>
      <c r="J431" s="26">
        <f t="shared" si="317"/>
        <v>-0.58783783783785026</v>
      </c>
      <c r="K431" s="26">
        <f t="shared" si="318"/>
        <v>-14.475506756756769</v>
      </c>
      <c r="L431" s="26">
        <f t="shared" si="319"/>
        <v>-62.825168918918934</v>
      </c>
      <c r="M431" s="27">
        <f t="shared" si="320"/>
        <v>-81.897567567569283</v>
      </c>
      <c r="N431" s="27">
        <f t="shared" si="321"/>
        <v>-1102.1650844594603</v>
      </c>
      <c r="O431" s="27">
        <f t="shared" si="322"/>
        <v>-4783.508361486488</v>
      </c>
      <c r="P431" s="9">
        <f t="shared" si="323"/>
        <v>-31701.600000000006</v>
      </c>
      <c r="Q431" s="27">
        <f t="shared" si="324"/>
        <v>-37669.171013513522</v>
      </c>
      <c r="R431" s="27">
        <f t="shared" si="325"/>
        <v>162624.55390751691</v>
      </c>
      <c r="S431" s="16">
        <f t="shared" si="326"/>
        <v>0.65</v>
      </c>
      <c r="T431" s="27">
        <f t="shared" ref="T431:T433" si="329">Q431*S431</f>
        <v>-24484.96115878379</v>
      </c>
      <c r="U431" s="27">
        <f t="shared" ref="U431:U433" si="330">R431*S431</f>
        <v>105705.96003988599</v>
      </c>
    </row>
    <row r="432" spans="2:21">
      <c r="B432" s="22">
        <v>0.85</v>
      </c>
      <c r="C432" s="26">
        <f t="shared" si="310"/>
        <v>134.78571428571431</v>
      </c>
      <c r="D432" s="29">
        <f t="shared" si="311"/>
        <v>0.95592705167173264</v>
      </c>
      <c r="E432" s="24">
        <f t="shared" si="312"/>
        <v>-2.2257551669316373E-5</v>
      </c>
      <c r="F432" s="17">
        <f t="shared" si="313"/>
        <v>1.3831478537360844E-4</v>
      </c>
      <c r="G432" s="25">
        <f t="shared" si="314"/>
        <v>-1.9554848966613715E-4</v>
      </c>
      <c r="H432" s="25">
        <f t="shared" si="315"/>
        <v>-6.4626391096979374E-4</v>
      </c>
      <c r="I432" s="25">
        <f t="shared" si="316"/>
        <v>-2.2154213036565981E-3</v>
      </c>
      <c r="J432" s="26">
        <f t="shared" si="317"/>
        <v>-5.6709062003179778</v>
      </c>
      <c r="K432" s="26">
        <f t="shared" si="318"/>
        <v>-18.74165341812402</v>
      </c>
      <c r="L432" s="26">
        <f t="shared" si="319"/>
        <v>-64.247217806041348</v>
      </c>
      <c r="M432" s="27">
        <f t="shared" si="320"/>
        <v>-790.07065182830047</v>
      </c>
      <c r="N432" s="27">
        <f t="shared" si="321"/>
        <v>-1426.989491255963</v>
      </c>
      <c r="O432" s="27">
        <f t="shared" si="322"/>
        <v>-4891.7831637519885</v>
      </c>
      <c r="P432" s="9">
        <f t="shared" si="323"/>
        <v>-33682.950000000004</v>
      </c>
      <c r="Q432" s="27">
        <f t="shared" si="324"/>
        <v>-40791.793306836254</v>
      </c>
      <c r="R432" s="27">
        <f t="shared" si="325"/>
        <v>162133.52086516295</v>
      </c>
      <c r="S432" s="16">
        <f t="shared" si="326"/>
        <v>0.65</v>
      </c>
      <c r="T432" s="27">
        <f t="shared" si="329"/>
        <v>-26514.665649443567</v>
      </c>
      <c r="U432" s="27">
        <f t="shared" si="330"/>
        <v>105386.78856235593</v>
      </c>
    </row>
    <row r="433" spans="2:21">
      <c r="B433" s="22">
        <v>0.9</v>
      </c>
      <c r="C433" s="26">
        <f t="shared" si="310"/>
        <v>142.71428571428572</v>
      </c>
      <c r="D433" s="29">
        <f t="shared" si="311"/>
        <v>1.0121580547112463</v>
      </c>
      <c r="E433" s="24">
        <f t="shared" si="312"/>
        <v>-2.1021021021021022E-5</v>
      </c>
      <c r="F433" s="17">
        <f t="shared" si="313"/>
        <v>-3.6036036036036207E-5</v>
      </c>
      <c r="G433" s="25">
        <f t="shared" si="314"/>
        <v>-3.5135135135135151E-4</v>
      </c>
      <c r="H433" s="25">
        <f t="shared" si="315"/>
        <v>-7.7702702702702722E-4</v>
      </c>
      <c r="I433" s="25">
        <f t="shared" si="316"/>
        <v>-2.2590090090090094E-3</v>
      </c>
      <c r="J433" s="26">
        <f t="shared" si="317"/>
        <v>-10.189189189189193</v>
      </c>
      <c r="K433" s="26">
        <f t="shared" si="318"/>
        <v>-22.53378378378379</v>
      </c>
      <c r="L433" s="26">
        <f t="shared" si="319"/>
        <v>-65.511261261261268</v>
      </c>
      <c r="M433" s="27">
        <f t="shared" si="320"/>
        <v>-1419.557837837838</v>
      </c>
      <c r="N433" s="27">
        <f t="shared" si="321"/>
        <v>-1715.7222972972977</v>
      </c>
      <c r="O433" s="27">
        <f t="shared" si="322"/>
        <v>-4988.0274324324328</v>
      </c>
      <c r="P433" s="9">
        <f t="shared" si="323"/>
        <v>-35664.300000000003</v>
      </c>
      <c r="Q433" s="27">
        <f t="shared" si="324"/>
        <v>-43787.607567567567</v>
      </c>
      <c r="R433" s="27">
        <f t="shared" si="325"/>
        <v>160880.50458445944</v>
      </c>
      <c r="S433" s="16">
        <f t="shared" si="326"/>
        <v>0.65</v>
      </c>
      <c r="T433" s="27">
        <f t="shared" si="329"/>
        <v>-28461.944918918918</v>
      </c>
      <c r="U433" s="27">
        <f t="shared" si="330"/>
        <v>104572.32797989865</v>
      </c>
    </row>
  </sheetData>
  <pageMargins left="0.70866141732283472" right="0.70866141732283472" top="0.74803149606299213" bottom="0.74803149606299213" header="0.31496062992125984" footer="0.31496062992125984"/>
  <pageSetup scale="41" fitToHeight="0" orientation="landscape" r:id="rId1"/>
  <rowBreaks count="3" manualBreakCount="3">
    <brk id="129" max="30" man="1"/>
    <brk id="230" max="30" man="1"/>
    <brk id="332" max="30" man="1"/>
  </rowBreaks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9CF2-43C6-4FA7-A1E8-8B319EFD6A29}">
  <sheetPr>
    <pageSetUpPr fitToPage="1"/>
  </sheetPr>
  <dimension ref="A6:AD253"/>
  <sheetViews>
    <sheetView view="pageBreakPreview" zoomScale="70" zoomScaleNormal="70" zoomScaleSheetLayoutView="70" workbookViewId="0">
      <selection activeCell="D85" sqref="D85"/>
    </sheetView>
  </sheetViews>
  <sheetFormatPr defaultColWidth="8.90625" defaultRowHeight="14.5"/>
  <cols>
    <col min="1" max="1" width="19.54296875" style="9" customWidth="1"/>
    <col min="2" max="2" width="10.08984375" style="9" customWidth="1"/>
    <col min="3" max="3" width="11.54296875" style="9" bestFit="1" customWidth="1"/>
    <col min="4" max="4" width="10.81640625" style="9" bestFit="1" customWidth="1"/>
    <col min="5" max="5" width="9.1796875" style="9" bestFit="1" customWidth="1"/>
    <col min="6" max="7" width="9" style="9" bestFit="1" customWidth="1"/>
    <col min="8" max="9" width="8.81640625" style="9" bestFit="1" customWidth="1"/>
    <col min="10" max="10" width="9.81640625" style="9" bestFit="1" customWidth="1"/>
    <col min="11" max="24" width="9" style="9" bestFit="1" customWidth="1"/>
    <col min="25" max="25" width="12.90625" style="9" customWidth="1"/>
    <col min="26" max="27" width="8.90625" style="9"/>
    <col min="28" max="29" width="9" style="9" bestFit="1" customWidth="1"/>
    <col min="30" max="30" width="12.453125" style="9" customWidth="1"/>
    <col min="31" max="16384" width="8.90625" style="9"/>
  </cols>
  <sheetData>
    <row r="6" spans="2:30">
      <c r="B6" s="9" t="s">
        <v>0</v>
      </c>
      <c r="C6" s="9" t="s">
        <v>13</v>
      </c>
      <c r="D6" s="10">
        <v>7</v>
      </c>
    </row>
    <row r="7" spans="2:30">
      <c r="B7" s="9" t="s">
        <v>1</v>
      </c>
      <c r="C7" s="9" t="s">
        <v>13</v>
      </c>
      <c r="D7" s="10">
        <v>80</v>
      </c>
    </row>
    <row r="8" spans="2:30">
      <c r="B8" s="9" t="s">
        <v>40</v>
      </c>
      <c r="C8" s="9" t="s">
        <v>13</v>
      </c>
      <c r="D8" s="10">
        <v>29000</v>
      </c>
    </row>
    <row r="9" spans="2:30">
      <c r="D9" s="10"/>
    </row>
    <row r="10" spans="2:30">
      <c r="B10" s="9" t="s">
        <v>2</v>
      </c>
      <c r="C10" s="9" t="s">
        <v>14</v>
      </c>
      <c r="D10" s="10">
        <v>141</v>
      </c>
    </row>
    <row r="11" spans="2:30">
      <c r="B11" s="9" t="s">
        <v>3</v>
      </c>
      <c r="C11" s="9" t="s">
        <v>14</v>
      </c>
      <c r="D11" s="10">
        <v>318</v>
      </c>
    </row>
    <row r="12" spans="2:30">
      <c r="B12" s="9" t="s">
        <v>4</v>
      </c>
      <c r="C12" s="9" t="s">
        <v>14</v>
      </c>
      <c r="D12" s="10">
        <v>30</v>
      </c>
    </row>
    <row r="13" spans="2:30">
      <c r="B13" s="9" t="s">
        <v>5</v>
      </c>
      <c r="C13" s="9" t="s">
        <v>14</v>
      </c>
      <c r="D13" s="10">
        <v>30</v>
      </c>
    </row>
    <row r="14" spans="2:30">
      <c r="D14" s="10"/>
    </row>
    <row r="15" spans="2:30">
      <c r="B15" s="11" t="s">
        <v>6</v>
      </c>
      <c r="D15" s="12">
        <f>MAX(0.65,MIN(0.85,0.85-0.05*(D6-4)))</f>
        <v>0.7</v>
      </c>
    </row>
    <row r="16" spans="2:30">
      <c r="D16" s="10"/>
      <c r="AC16" s="9" t="s">
        <v>63</v>
      </c>
      <c r="AD16" s="9" t="s">
        <v>64</v>
      </c>
    </row>
    <row r="17" spans="2:30">
      <c r="B17" s="9" t="s">
        <v>12</v>
      </c>
      <c r="C17" s="9" t="s">
        <v>15</v>
      </c>
      <c r="D17" s="10">
        <f>2*D10*D12+(D11-2*D12)*D13</f>
        <v>16200</v>
      </c>
      <c r="AB17" s="9">
        <v>1</v>
      </c>
      <c r="AC17" s="9">
        <f>'BE Calcs'!C13</f>
        <v>-3742</v>
      </c>
      <c r="AD17" s="9">
        <f>'BE Calcs'!D13</f>
        <v>147640</v>
      </c>
    </row>
    <row r="18" spans="2:30">
      <c r="B18" s="9" t="s">
        <v>54</v>
      </c>
      <c r="C18" s="9" t="s">
        <v>14</v>
      </c>
      <c r="D18" s="12">
        <f>D11/2</f>
        <v>159</v>
      </c>
      <c r="AB18" s="9">
        <v>2</v>
      </c>
      <c r="AC18" s="9">
        <f>'BE Calcs'!C14</f>
        <v>-3742</v>
      </c>
      <c r="AD18" s="9">
        <f>'BE Calcs'!D14</f>
        <v>-147640</v>
      </c>
    </row>
    <row r="19" spans="2:30">
      <c r="D19" s="10"/>
      <c r="AB19" s="9">
        <v>3</v>
      </c>
      <c r="AC19" s="9">
        <f>'BE Calcs'!C15</f>
        <v>-9006</v>
      </c>
      <c r="AD19" s="9">
        <f>'BE Calcs'!D15</f>
        <v>147640</v>
      </c>
    </row>
    <row r="20" spans="2:30">
      <c r="B20" s="9" t="s">
        <v>55</v>
      </c>
      <c r="C20" s="9" t="s">
        <v>14</v>
      </c>
      <c r="D20" s="10">
        <f>D12/2</f>
        <v>15</v>
      </c>
      <c r="AB20" s="9">
        <v>4</v>
      </c>
      <c r="AC20" s="9">
        <f>'BE Calcs'!C16</f>
        <v>-9006</v>
      </c>
      <c r="AD20" s="9">
        <f>'BE Calcs'!D16</f>
        <v>-147640</v>
      </c>
    </row>
    <row r="21" spans="2:30">
      <c r="B21" s="9" t="s">
        <v>58</v>
      </c>
      <c r="C21" s="9" t="s">
        <v>14</v>
      </c>
      <c r="D21" s="10">
        <v>94.5</v>
      </c>
    </row>
    <row r="22" spans="2:30">
      <c r="B22" s="9" t="s">
        <v>57</v>
      </c>
      <c r="C22" s="9" t="s">
        <v>14</v>
      </c>
      <c r="D22" s="10">
        <v>223.5</v>
      </c>
    </row>
    <row r="23" spans="2:30">
      <c r="B23" s="9" t="s">
        <v>56</v>
      </c>
      <c r="C23" s="9" t="s">
        <v>14</v>
      </c>
      <c r="D23" s="10">
        <f>D11-(D12/2)</f>
        <v>303</v>
      </c>
    </row>
    <row r="24" spans="2:30">
      <c r="B24" s="9" t="s">
        <v>66</v>
      </c>
      <c r="C24" s="9" t="s">
        <v>14</v>
      </c>
      <c r="D24" s="12">
        <f>((D27*D20)+(D28*D21)+(D29*D22)+(D30*D23))/(D31)</f>
        <v>158.99999999999997</v>
      </c>
      <c r="E24" s="34" t="b">
        <f>D18=D24</f>
        <v>1</v>
      </c>
      <c r="H24" s="16"/>
      <c r="I24" s="16"/>
      <c r="L24" s="17"/>
      <c r="AC24" s="32">
        <f>T160</f>
        <v>-2417.8860000000004</v>
      </c>
      <c r="AD24" s="32">
        <f>C160</f>
        <v>21.428571428571431</v>
      </c>
    </row>
    <row r="25" spans="2:30">
      <c r="D25" s="10"/>
      <c r="AC25" s="10">
        <f>AC17</f>
        <v>-3742</v>
      </c>
      <c r="AD25" s="13">
        <f>AD24+((AD24-AD26)/(AC24-AC26))*(AC25-AC24)</f>
        <v>23.271687888899965</v>
      </c>
    </row>
    <row r="26" spans="2:30">
      <c r="B26" s="11" t="s">
        <v>7</v>
      </c>
      <c r="D26" s="14">
        <v>4.0000000000000001E-3</v>
      </c>
      <c r="AC26" s="32">
        <f>T161</f>
        <v>-3957.3368181818205</v>
      </c>
      <c r="AD26" s="32">
        <f>C161</f>
        <v>23.571428571428573</v>
      </c>
    </row>
    <row r="27" spans="2:30">
      <c r="B27" s="9" t="s">
        <v>8</v>
      </c>
      <c r="C27" s="9" t="s">
        <v>15</v>
      </c>
      <c r="D27" s="12">
        <f>D26*(D10*D12)</f>
        <v>16.920000000000002</v>
      </c>
      <c r="AC27" s="10"/>
      <c r="AD27" s="10"/>
    </row>
    <row r="28" spans="2:30">
      <c r="B28" s="9" t="s">
        <v>9</v>
      </c>
      <c r="C28" s="9" t="s">
        <v>15</v>
      </c>
      <c r="D28" s="12">
        <f>D26*(D11-(2*D12))/2*D13</f>
        <v>15.48</v>
      </c>
      <c r="AC28" s="32">
        <f>T164</f>
        <v>-8334.8100000000013</v>
      </c>
      <c r="AD28" s="32">
        <f>C164</f>
        <v>30</v>
      </c>
    </row>
    <row r="29" spans="2:30">
      <c r="B29" s="9" t="s">
        <v>10</v>
      </c>
      <c r="C29" s="9" t="s">
        <v>15</v>
      </c>
      <c r="D29" s="12">
        <f>D28</f>
        <v>15.48</v>
      </c>
      <c r="AC29" s="10">
        <f>AC19</f>
        <v>-9006</v>
      </c>
      <c r="AD29" s="13">
        <f>AD28+((AD28-AD30)/(AC28-AC30))*(AC29-AC28)</f>
        <v>31.023217567163371</v>
      </c>
    </row>
    <row r="30" spans="2:30">
      <c r="B30" s="9" t="s">
        <v>59</v>
      </c>
      <c r="C30" s="9" t="s">
        <v>15</v>
      </c>
      <c r="D30" s="12">
        <f>D27</f>
        <v>16.920000000000002</v>
      </c>
      <c r="AC30" s="32">
        <f>T165</f>
        <v>-9740.4389999999967</v>
      </c>
      <c r="AD30" s="32">
        <f>C165</f>
        <v>32.142857142857139</v>
      </c>
    </row>
    <row r="31" spans="2:30">
      <c r="B31" s="15" t="s">
        <v>46</v>
      </c>
      <c r="C31" s="9" t="s">
        <v>15</v>
      </c>
      <c r="D31" s="13">
        <f>SUM(D27:D30)</f>
        <v>64.800000000000011</v>
      </c>
    </row>
    <row r="32" spans="2:30">
      <c r="AC32" s="47"/>
      <c r="AD32" s="47"/>
    </row>
    <row r="33" spans="1:30">
      <c r="L33" s="19"/>
      <c r="M33" s="19"/>
      <c r="N33" s="19"/>
      <c r="P33" s="19"/>
      <c r="Q33" s="19"/>
      <c r="R33" s="19"/>
      <c r="AC33" s="34"/>
      <c r="AD33" s="67"/>
    </row>
    <row r="34" spans="1:30">
      <c r="B34" s="18" t="s">
        <v>61</v>
      </c>
      <c r="C34" s="18" t="s">
        <v>37</v>
      </c>
      <c r="D34" s="18" t="s">
        <v>60</v>
      </c>
      <c r="E34" s="19" t="s">
        <v>19</v>
      </c>
      <c r="F34" s="19" t="s">
        <v>20</v>
      </c>
      <c r="G34" s="19" t="s">
        <v>21</v>
      </c>
      <c r="H34" s="19" t="s">
        <v>22</v>
      </c>
      <c r="I34" s="19" t="s">
        <v>23</v>
      </c>
      <c r="J34" s="19" t="s">
        <v>51</v>
      </c>
      <c r="K34" s="19" t="s">
        <v>24</v>
      </c>
      <c r="L34" s="19" t="s">
        <v>25</v>
      </c>
      <c r="M34" s="19" t="s">
        <v>26</v>
      </c>
      <c r="N34" s="19" t="s">
        <v>52</v>
      </c>
      <c r="O34" s="19" t="s">
        <v>27</v>
      </c>
      <c r="P34" s="19" t="s">
        <v>28</v>
      </c>
      <c r="Q34" s="19" t="s">
        <v>29</v>
      </c>
      <c r="R34" s="19" t="s">
        <v>53</v>
      </c>
      <c r="S34" s="19" t="s">
        <v>30</v>
      </c>
      <c r="T34" s="19" t="s">
        <v>31</v>
      </c>
      <c r="U34" s="19" t="s">
        <v>32</v>
      </c>
      <c r="V34" s="19" t="s">
        <v>33</v>
      </c>
      <c r="W34" s="19" t="s">
        <v>34</v>
      </c>
      <c r="X34" s="19" t="s">
        <v>35</v>
      </c>
      <c r="Y34" s="35" t="s">
        <v>62</v>
      </c>
      <c r="AC34" s="47"/>
      <c r="AD34" s="47"/>
    </row>
    <row r="35" spans="1:30">
      <c r="B35" s="20"/>
      <c r="C35" s="21" t="s">
        <v>14</v>
      </c>
      <c r="D35" s="21"/>
      <c r="E35" s="21" t="s">
        <v>39</v>
      </c>
      <c r="F35" s="20"/>
      <c r="G35" s="20"/>
      <c r="H35" s="19"/>
      <c r="I35" s="19"/>
      <c r="J35" s="19"/>
      <c r="K35" s="21" t="s">
        <v>13</v>
      </c>
      <c r="L35" s="21" t="s">
        <v>13</v>
      </c>
      <c r="M35" s="21" t="s">
        <v>13</v>
      </c>
      <c r="N35" s="21"/>
      <c r="O35" s="21" t="s">
        <v>41</v>
      </c>
      <c r="P35" s="21" t="s">
        <v>41</v>
      </c>
      <c r="Q35" s="21" t="s">
        <v>41</v>
      </c>
      <c r="R35" s="21"/>
      <c r="S35" s="21" t="s">
        <v>41</v>
      </c>
      <c r="T35" s="21" t="s">
        <v>41</v>
      </c>
      <c r="U35" s="21" t="s">
        <v>42</v>
      </c>
      <c r="V35" s="21"/>
      <c r="W35" s="21" t="s">
        <v>41</v>
      </c>
      <c r="X35" s="21" t="s">
        <v>42</v>
      </c>
      <c r="Y35" s="21" t="s">
        <v>42</v>
      </c>
      <c r="AC35" s="34"/>
      <c r="AD35" s="34"/>
    </row>
    <row r="36" spans="1:30">
      <c r="A36" s="15" t="s">
        <v>36</v>
      </c>
      <c r="B36" s="22"/>
      <c r="C36" s="23"/>
      <c r="D36" s="23"/>
      <c r="E36" s="24"/>
      <c r="F36" s="17"/>
      <c r="G36" s="25"/>
      <c r="H36" s="25"/>
      <c r="I36" s="25"/>
      <c r="J36" s="25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16"/>
      <c r="W36" s="27"/>
      <c r="X36" s="27"/>
      <c r="AC36" s="47"/>
      <c r="AD36" s="47"/>
    </row>
    <row r="37" spans="1:30">
      <c r="B37" s="22">
        <v>1.0000000000000001E-5</v>
      </c>
      <c r="C37" s="28">
        <f t="shared" ref="C37:C55" si="0">B37/$D$15*$D$13</f>
        <v>4.285714285714286E-4</v>
      </c>
      <c r="D37" s="29">
        <f>C37/$D$10</f>
        <v>3.0395136778115506E-6</v>
      </c>
      <c r="E37" s="25">
        <f t="shared" ref="E37:E55" si="1">-0.003/C37</f>
        <v>-7</v>
      </c>
      <c r="F37" s="17">
        <f>E37*(C37-$D$11)</f>
        <v>2225.9969999999998</v>
      </c>
      <c r="G37" s="25">
        <f>E37*(C37-($D$20))</f>
        <v>104.997</v>
      </c>
      <c r="H37" s="25">
        <f>E37*(C37-($D$21))</f>
        <v>661.49699999999996</v>
      </c>
      <c r="I37" s="17">
        <f>E37*(C37-($D$22))</f>
        <v>1564.4970000000001</v>
      </c>
      <c r="J37" s="16">
        <f>E37*(C37-$D$23)</f>
        <v>2120.9969999999998</v>
      </c>
      <c r="K37" s="26">
        <f>SIGN(G37)*MIN($D$8*ABS(G37),$D$7)</f>
        <v>80</v>
      </c>
      <c r="L37" s="26">
        <f>SIGN(H37)*MIN($D$8*ABS(H37),$D$7)</f>
        <v>80</v>
      </c>
      <c r="M37" s="26">
        <f>SIGN(I37)*MIN($D$8*ABS(I37),$D$7)</f>
        <v>80</v>
      </c>
      <c r="N37" s="26">
        <f>SIGN(J37)*MIN($D$8*ABS(J37),$D$7)</f>
        <v>80</v>
      </c>
      <c r="O37" s="27">
        <f>$D$27*K37</f>
        <v>1353.6000000000001</v>
      </c>
      <c r="P37" s="27">
        <f>$D$28*L37</f>
        <v>1238.4000000000001</v>
      </c>
      <c r="Q37" s="27">
        <f>$D$29*M37</f>
        <v>1238.4000000000001</v>
      </c>
      <c r="R37" s="27">
        <f>N37*$D$30</f>
        <v>1353.6000000000001</v>
      </c>
      <c r="S37" s="27">
        <f>$D$15*C37*$D$10*(-0.85*$D$6)</f>
        <v>-0.25168500000000005</v>
      </c>
      <c r="T37" s="27">
        <f>SUM(O37:S37)</f>
        <v>5183.7483149999998</v>
      </c>
      <c r="U37" s="27">
        <f>(S37*($D$18-$D$15*C37/2)+O37*($D$18-$D$20)+P37*($D$18-$D$21)+Q37*($D$18-$D$22)+R37*($D$18-$D$23))/12</f>
        <v>-3.3348231039368934</v>
      </c>
      <c r="V37" s="16">
        <f>MAX(0.65,MIN(0.9,0.65+(F37-0.002)*250/3))</f>
        <v>0.9</v>
      </c>
      <c r="W37" s="27">
        <f>V37*T37</f>
        <v>4665.3734834999996</v>
      </c>
      <c r="X37" s="27">
        <f>V37*U37</f>
        <v>-3.0013407935432039</v>
      </c>
      <c r="Y37" s="27">
        <f>-X37</f>
        <v>3.0013407935432039</v>
      </c>
      <c r="AC37" s="34"/>
      <c r="AD37" s="67"/>
    </row>
    <row r="38" spans="1:30">
      <c r="B38" s="22">
        <v>0.05</v>
      </c>
      <c r="C38" s="23">
        <f>B38/$D$15*$D$13</f>
        <v>2.1428571428571432</v>
      </c>
      <c r="D38" s="29">
        <f>C38/$D$11</f>
        <v>6.7385444743935322E-3</v>
      </c>
      <c r="E38" s="25">
        <f t="shared" si="1"/>
        <v>-1.3999999999999998E-3</v>
      </c>
      <c r="F38" s="17">
        <f>E38*(C38-$D$11)</f>
        <v>0.44219999999999987</v>
      </c>
      <c r="G38" s="25">
        <f>E38*(C38-($D$20))</f>
        <v>1.7999999999999999E-2</v>
      </c>
      <c r="H38" s="25">
        <f>E38*(C38-($D$21))</f>
        <v>0.12929999999999997</v>
      </c>
      <c r="I38" s="25">
        <f>E38*(C38-($D$22))</f>
        <v>0.30989999999999995</v>
      </c>
      <c r="J38" s="16">
        <f t="shared" ref="J38:J55" si="2">E38*(C38-$D$23)</f>
        <v>0.42119999999999991</v>
      </c>
      <c r="K38" s="26">
        <f t="shared" ref="K38:K55" si="3">SIGN(G38)*MIN($D$8*ABS(G38),$D$7)</f>
        <v>80</v>
      </c>
      <c r="L38" s="26">
        <f t="shared" ref="L38:L55" si="4">SIGN(H38)*MIN($D$8*ABS(H38),$D$7)</f>
        <v>80</v>
      </c>
      <c r="M38" s="26">
        <f t="shared" ref="M38:M55" si="5">SIGN(I38)*MIN($D$8*ABS(I38),$D$7)</f>
        <v>80</v>
      </c>
      <c r="N38" s="26">
        <f t="shared" ref="N38:N55" si="6">SIGN(J38)*MIN($D$8*ABS(J38),$D$7)</f>
        <v>80</v>
      </c>
      <c r="O38" s="27">
        <f t="shared" ref="O38:O55" si="7">$D$27*K38</f>
        <v>1353.6000000000001</v>
      </c>
      <c r="P38" s="27">
        <f t="shared" ref="P38:P55" si="8">$D$28*L38</f>
        <v>1238.4000000000001</v>
      </c>
      <c r="Q38" s="27">
        <f t="shared" ref="Q38:Q55" si="9">$D$29*M38</f>
        <v>1238.4000000000001</v>
      </c>
      <c r="R38" s="27">
        <f t="shared" ref="R38:R55" si="10">N38*$D$30</f>
        <v>1353.6000000000001</v>
      </c>
      <c r="S38" s="27">
        <f t="shared" ref="S38:S55" si="11">$D$15*C38*$D$10*(-0.85*$D$6)</f>
        <v>-1258.4250000000002</v>
      </c>
      <c r="T38" s="27">
        <f t="shared" ref="T38:T55" si="12">SUM(O38:S38)</f>
        <v>3925.5749999999998</v>
      </c>
      <c r="U38" s="27">
        <f t="shared" ref="U38:U55" si="13">(S38*($D$18-$D$15*C38/2)+O38*($D$18-$D$20)+P38*($D$18-$D$21)+Q38*($D$18-$D$22)+R38*($D$18-$D$23))/12</f>
        <v>-16595.479687500003</v>
      </c>
      <c r="V38" s="16">
        <f t="shared" ref="V38:V55" si="14">MAX(0.65,MIN(0.9,0.65+(F38-0.002)*250/3))</f>
        <v>0.9</v>
      </c>
      <c r="W38" s="27">
        <f t="shared" ref="W38:W55" si="15">V38*T38</f>
        <v>3533.0174999999999</v>
      </c>
      <c r="X38" s="27">
        <f t="shared" ref="X38:X55" si="16">V38*U38</f>
        <v>-14935.931718750004</v>
      </c>
      <c r="Y38" s="27">
        <f t="shared" ref="Y38:Y55" si="17">-X38</f>
        <v>14935.931718750004</v>
      </c>
      <c r="AC38" s="47"/>
      <c r="AD38" s="47"/>
    </row>
    <row r="39" spans="1:30">
      <c r="B39" s="22">
        <v>0.1</v>
      </c>
      <c r="C39" s="23">
        <f>B39/$D$15*$D$13</f>
        <v>4.2857142857142865</v>
      </c>
      <c r="D39" s="29">
        <f t="shared" ref="D39:D55" si="18">C39/$D$11</f>
        <v>1.3477088948787064E-2</v>
      </c>
      <c r="E39" s="25">
        <f t="shared" si="1"/>
        <v>-6.9999999999999988E-4</v>
      </c>
      <c r="F39" s="17">
        <f t="shared" ref="F39:F55" si="19">E39*(C39-$D$11)</f>
        <v>0.21959999999999996</v>
      </c>
      <c r="G39" s="25">
        <f t="shared" ref="G39:G55" si="20">E39*(C39-($D$20))</f>
        <v>7.499999999999998E-3</v>
      </c>
      <c r="H39" s="25">
        <f t="shared" ref="H39:H55" si="21">E39*(C39-($D$21))</f>
        <v>6.3149999999999984E-2</v>
      </c>
      <c r="I39" s="25">
        <f t="shared" ref="I39:I55" si="22">E39*(C39-($D$22))</f>
        <v>0.15344999999999998</v>
      </c>
      <c r="J39" s="16">
        <f t="shared" si="2"/>
        <v>0.20909999999999998</v>
      </c>
      <c r="K39" s="26">
        <f t="shared" si="3"/>
        <v>80</v>
      </c>
      <c r="L39" s="26">
        <f t="shared" si="4"/>
        <v>80</v>
      </c>
      <c r="M39" s="26">
        <f t="shared" si="5"/>
        <v>80</v>
      </c>
      <c r="N39" s="26">
        <f t="shared" si="6"/>
        <v>80</v>
      </c>
      <c r="O39" s="27">
        <f t="shared" si="7"/>
        <v>1353.6000000000001</v>
      </c>
      <c r="P39" s="27">
        <f t="shared" si="8"/>
        <v>1238.4000000000001</v>
      </c>
      <c r="Q39" s="27">
        <f t="shared" si="9"/>
        <v>1238.4000000000001</v>
      </c>
      <c r="R39" s="27">
        <f t="shared" si="10"/>
        <v>1353.6000000000001</v>
      </c>
      <c r="S39" s="27">
        <f t="shared" si="11"/>
        <v>-2516.8500000000004</v>
      </c>
      <c r="T39" s="27">
        <f t="shared" si="12"/>
        <v>2667.1499999999996</v>
      </c>
      <c r="U39" s="27">
        <f t="shared" si="13"/>
        <v>-33033.656250000007</v>
      </c>
      <c r="V39" s="16">
        <f t="shared" si="14"/>
        <v>0.9</v>
      </c>
      <c r="W39" s="27">
        <f t="shared" si="15"/>
        <v>2400.4349999999999</v>
      </c>
      <c r="X39" s="27">
        <f t="shared" si="16"/>
        <v>-29730.290625000009</v>
      </c>
      <c r="Y39" s="27">
        <f t="shared" si="17"/>
        <v>29730.290625000009</v>
      </c>
    </row>
    <row r="40" spans="1:30">
      <c r="B40" s="22">
        <v>0.15</v>
      </c>
      <c r="C40" s="23">
        <f>B40/$D$15*$D$13</f>
        <v>6.4285714285714288</v>
      </c>
      <c r="D40" s="29">
        <f t="shared" si="18"/>
        <v>2.0215633423180595E-2</v>
      </c>
      <c r="E40" s="25">
        <f t="shared" si="1"/>
        <v>-4.6666666666666666E-4</v>
      </c>
      <c r="F40" s="17">
        <f t="shared" si="19"/>
        <v>0.1454</v>
      </c>
      <c r="G40" s="25">
        <f t="shared" si="20"/>
        <v>4.0000000000000001E-3</v>
      </c>
      <c r="H40" s="25">
        <f t="shared" si="21"/>
        <v>4.1099999999999998E-2</v>
      </c>
      <c r="I40" s="25">
        <f t="shared" si="22"/>
        <v>0.1013</v>
      </c>
      <c r="J40" s="16">
        <f t="shared" si="2"/>
        <v>0.1384</v>
      </c>
      <c r="K40" s="26">
        <f t="shared" si="3"/>
        <v>80</v>
      </c>
      <c r="L40" s="26">
        <f t="shared" si="4"/>
        <v>80</v>
      </c>
      <c r="M40" s="26">
        <f t="shared" si="5"/>
        <v>80</v>
      </c>
      <c r="N40" s="26">
        <f t="shared" si="6"/>
        <v>80</v>
      </c>
      <c r="O40" s="27">
        <f t="shared" si="7"/>
        <v>1353.6000000000001</v>
      </c>
      <c r="P40" s="27">
        <f t="shared" si="8"/>
        <v>1238.4000000000001</v>
      </c>
      <c r="Q40" s="27">
        <f t="shared" si="9"/>
        <v>1238.4000000000001</v>
      </c>
      <c r="R40" s="27">
        <f t="shared" si="10"/>
        <v>1353.6000000000001</v>
      </c>
      <c r="S40" s="27">
        <f t="shared" si="11"/>
        <v>-3775.2750000000001</v>
      </c>
      <c r="T40" s="27">
        <f t="shared" si="12"/>
        <v>1408.7249999999999</v>
      </c>
      <c r="U40" s="27">
        <f t="shared" si="13"/>
        <v>-49314.529687500006</v>
      </c>
      <c r="V40" s="16">
        <f t="shared" si="14"/>
        <v>0.9</v>
      </c>
      <c r="W40" s="27">
        <f t="shared" si="15"/>
        <v>1267.8525</v>
      </c>
      <c r="X40" s="27">
        <f t="shared" si="16"/>
        <v>-44383.07671875001</v>
      </c>
      <c r="Y40" s="27">
        <f t="shared" si="17"/>
        <v>44383.07671875001</v>
      </c>
    </row>
    <row r="41" spans="1:30">
      <c r="B41" s="22">
        <v>0.2</v>
      </c>
      <c r="C41" s="23">
        <f>B41/$D$15*$D$13</f>
        <v>8.571428571428573</v>
      </c>
      <c r="D41" s="29">
        <f t="shared" si="18"/>
        <v>2.6954177897574129E-2</v>
      </c>
      <c r="E41" s="25">
        <f t="shared" si="1"/>
        <v>-3.4999999999999994E-4</v>
      </c>
      <c r="F41" s="17">
        <f t="shared" si="19"/>
        <v>0.10829999999999999</v>
      </c>
      <c r="G41" s="25">
        <f t="shared" si="20"/>
        <v>2.249999999999999E-3</v>
      </c>
      <c r="H41" s="25">
        <f t="shared" si="21"/>
        <v>3.0074999999999994E-2</v>
      </c>
      <c r="I41" s="25">
        <f t="shared" si="22"/>
        <v>7.5224999999999986E-2</v>
      </c>
      <c r="J41" s="16">
        <f t="shared" si="2"/>
        <v>0.10304999999999999</v>
      </c>
      <c r="K41" s="26">
        <f t="shared" si="3"/>
        <v>65.249999999999972</v>
      </c>
      <c r="L41" s="26">
        <f t="shared" si="4"/>
        <v>80</v>
      </c>
      <c r="M41" s="26">
        <f t="shared" si="5"/>
        <v>80</v>
      </c>
      <c r="N41" s="26">
        <f t="shared" si="6"/>
        <v>80</v>
      </c>
      <c r="O41" s="27">
        <f t="shared" si="7"/>
        <v>1104.0299999999995</v>
      </c>
      <c r="P41" s="27">
        <f t="shared" si="8"/>
        <v>1238.4000000000001</v>
      </c>
      <c r="Q41" s="27">
        <f t="shared" si="9"/>
        <v>1238.4000000000001</v>
      </c>
      <c r="R41" s="27">
        <f t="shared" si="10"/>
        <v>1353.6000000000001</v>
      </c>
      <c r="S41" s="27">
        <f t="shared" si="11"/>
        <v>-5033.7000000000007</v>
      </c>
      <c r="T41" s="27">
        <f t="shared" si="12"/>
        <v>-99.270000000001346</v>
      </c>
      <c r="U41" s="27">
        <f t="shared" si="13"/>
        <v>-68432.940000000017</v>
      </c>
      <c r="V41" s="16">
        <f t="shared" si="14"/>
        <v>0.9</v>
      </c>
      <c r="W41" s="27">
        <f t="shared" si="15"/>
        <v>-89.343000000001211</v>
      </c>
      <c r="X41" s="27">
        <f t="shared" si="16"/>
        <v>-61589.646000000015</v>
      </c>
      <c r="Y41" s="27">
        <f t="shared" si="17"/>
        <v>61589.646000000015</v>
      </c>
    </row>
    <row r="42" spans="1:30">
      <c r="B42" s="22">
        <v>0.25</v>
      </c>
      <c r="C42" s="23">
        <f>B42/$D$15*$D$13</f>
        <v>10.714285714285715</v>
      </c>
      <c r="D42" s="29">
        <f t="shared" si="18"/>
        <v>3.3692722371967659E-2</v>
      </c>
      <c r="E42" s="25">
        <f t="shared" si="1"/>
        <v>-2.7999999999999998E-4</v>
      </c>
      <c r="F42" s="17">
        <f t="shared" si="19"/>
        <v>8.6039999999999991E-2</v>
      </c>
      <c r="G42" s="25">
        <f t="shared" si="20"/>
        <v>1.1999999999999997E-3</v>
      </c>
      <c r="H42" s="25">
        <f t="shared" si="21"/>
        <v>2.3459999999999995E-2</v>
      </c>
      <c r="I42" s="25">
        <f t="shared" si="22"/>
        <v>5.9579999999999994E-2</v>
      </c>
      <c r="J42" s="16">
        <f t="shared" si="2"/>
        <v>8.1839999999999996E-2</v>
      </c>
      <c r="K42" s="26">
        <f t="shared" si="3"/>
        <v>34.79999999999999</v>
      </c>
      <c r="L42" s="26">
        <f t="shared" si="4"/>
        <v>80</v>
      </c>
      <c r="M42" s="26">
        <f t="shared" si="5"/>
        <v>80</v>
      </c>
      <c r="N42" s="26">
        <f t="shared" si="6"/>
        <v>80</v>
      </c>
      <c r="O42" s="27">
        <f t="shared" si="7"/>
        <v>588.81599999999992</v>
      </c>
      <c r="P42" s="27">
        <f t="shared" si="8"/>
        <v>1238.4000000000001</v>
      </c>
      <c r="Q42" s="27">
        <f t="shared" si="9"/>
        <v>1238.4000000000001</v>
      </c>
      <c r="R42" s="27">
        <f t="shared" si="10"/>
        <v>1353.6000000000001</v>
      </c>
      <c r="S42" s="27">
        <f t="shared" si="11"/>
        <v>-6292.125</v>
      </c>
      <c r="T42" s="27">
        <f t="shared" si="12"/>
        <v>-1872.9089999999997</v>
      </c>
      <c r="U42" s="27">
        <f t="shared" si="13"/>
        <v>-90581.77518750001</v>
      </c>
      <c r="V42" s="16">
        <f t="shared" si="14"/>
        <v>0.9</v>
      </c>
      <c r="W42" s="27">
        <f t="shared" si="15"/>
        <v>-1685.6180999999997</v>
      </c>
      <c r="X42" s="27">
        <f t="shared" si="16"/>
        <v>-81523.597668750008</v>
      </c>
      <c r="Y42" s="27">
        <f t="shared" si="17"/>
        <v>81523.597668750008</v>
      </c>
    </row>
    <row r="43" spans="1:30">
      <c r="B43" s="22">
        <v>0.3</v>
      </c>
      <c r="C43" s="23">
        <f t="shared" si="0"/>
        <v>12.857142857142858</v>
      </c>
      <c r="D43" s="29">
        <f t="shared" si="18"/>
        <v>4.043126684636119E-2</v>
      </c>
      <c r="E43" s="25">
        <f t="shared" si="1"/>
        <v>-2.3333333333333333E-4</v>
      </c>
      <c r="F43" s="17">
        <f t="shared" si="19"/>
        <v>7.1199999999999999E-2</v>
      </c>
      <c r="G43" s="25">
        <f t="shared" si="20"/>
        <v>4.999999999999999E-4</v>
      </c>
      <c r="H43" s="25">
        <f t="shared" si="21"/>
        <v>1.9049999999999997E-2</v>
      </c>
      <c r="I43" s="25">
        <f t="shared" si="22"/>
        <v>4.9149999999999999E-2</v>
      </c>
      <c r="J43" s="16">
        <f t="shared" si="2"/>
        <v>6.770000000000001E-2</v>
      </c>
      <c r="K43" s="26">
        <f t="shared" si="3"/>
        <v>14.499999999999996</v>
      </c>
      <c r="L43" s="26">
        <f t="shared" si="4"/>
        <v>80</v>
      </c>
      <c r="M43" s="26">
        <f t="shared" si="5"/>
        <v>80</v>
      </c>
      <c r="N43" s="26">
        <f t="shared" si="6"/>
        <v>80</v>
      </c>
      <c r="O43" s="27">
        <f t="shared" si="7"/>
        <v>245.33999999999997</v>
      </c>
      <c r="P43" s="27">
        <f t="shared" si="8"/>
        <v>1238.4000000000001</v>
      </c>
      <c r="Q43" s="27">
        <f t="shared" si="9"/>
        <v>1238.4000000000001</v>
      </c>
      <c r="R43" s="27">
        <f t="shared" si="10"/>
        <v>1353.6000000000001</v>
      </c>
      <c r="S43" s="27">
        <f t="shared" si="11"/>
        <v>-7550.55</v>
      </c>
      <c r="T43" s="27">
        <f t="shared" si="12"/>
        <v>-3474.8099999999995</v>
      </c>
      <c r="U43" s="27">
        <f t="shared" si="13"/>
        <v>-110512.45125</v>
      </c>
      <c r="V43" s="16">
        <f t="shared" si="14"/>
        <v>0.9</v>
      </c>
      <c r="W43" s="27">
        <f t="shared" si="15"/>
        <v>-3127.3289999999997</v>
      </c>
      <c r="X43" s="27">
        <f t="shared" si="16"/>
        <v>-99461.206124999997</v>
      </c>
      <c r="Y43" s="27">
        <f t="shared" si="17"/>
        <v>99461.206124999997</v>
      </c>
    </row>
    <row r="44" spans="1:30">
      <c r="B44" s="22">
        <v>0.35</v>
      </c>
      <c r="C44" s="23">
        <f t="shared" si="0"/>
        <v>15</v>
      </c>
      <c r="D44" s="29">
        <f t="shared" si="18"/>
        <v>4.716981132075472E-2</v>
      </c>
      <c r="E44" s="25">
        <f t="shared" si="1"/>
        <v>-2.0000000000000001E-4</v>
      </c>
      <c r="F44" s="17">
        <f t="shared" si="19"/>
        <v>6.0600000000000001E-2</v>
      </c>
      <c r="G44" s="25">
        <f t="shared" si="20"/>
        <v>0</v>
      </c>
      <c r="H44" s="25">
        <f t="shared" si="21"/>
        <v>1.5900000000000001E-2</v>
      </c>
      <c r="I44" s="25">
        <f t="shared" si="22"/>
        <v>4.1700000000000001E-2</v>
      </c>
      <c r="J44" s="16">
        <f t="shared" si="2"/>
        <v>5.7600000000000005E-2</v>
      </c>
      <c r="K44" s="26">
        <f t="shared" si="3"/>
        <v>0</v>
      </c>
      <c r="L44" s="26">
        <f t="shared" si="4"/>
        <v>80</v>
      </c>
      <c r="M44" s="26">
        <f t="shared" si="5"/>
        <v>80</v>
      </c>
      <c r="N44" s="26">
        <f t="shared" si="6"/>
        <v>80</v>
      </c>
      <c r="O44" s="27">
        <f t="shared" si="7"/>
        <v>0</v>
      </c>
      <c r="P44" s="27">
        <f t="shared" si="8"/>
        <v>1238.4000000000001</v>
      </c>
      <c r="Q44" s="27">
        <f t="shared" si="9"/>
        <v>1238.4000000000001</v>
      </c>
      <c r="R44" s="27">
        <f t="shared" si="10"/>
        <v>1353.6000000000001</v>
      </c>
      <c r="S44" s="27">
        <f t="shared" si="11"/>
        <v>-8808.9750000000004</v>
      </c>
      <c r="T44" s="27">
        <f t="shared" si="12"/>
        <v>-4978.5749999999998</v>
      </c>
      <c r="U44" s="27">
        <f t="shared" si="13"/>
        <v>-129108.1921875</v>
      </c>
      <c r="V44" s="16">
        <f t="shared" si="14"/>
        <v>0.9</v>
      </c>
      <c r="W44" s="27">
        <f t="shared" si="15"/>
        <v>-4480.7174999999997</v>
      </c>
      <c r="X44" s="27">
        <f t="shared" si="16"/>
        <v>-116197.37296875</v>
      </c>
      <c r="Y44" s="27">
        <f t="shared" si="17"/>
        <v>116197.37296875</v>
      </c>
    </row>
    <row r="45" spans="1:30">
      <c r="B45" s="22">
        <v>0.4</v>
      </c>
      <c r="C45" s="23">
        <f t="shared" si="0"/>
        <v>17.142857142857146</v>
      </c>
      <c r="D45" s="29">
        <f t="shared" si="18"/>
        <v>5.3908355795148258E-2</v>
      </c>
      <c r="E45" s="25">
        <f t="shared" si="1"/>
        <v>-1.7499999999999997E-4</v>
      </c>
      <c r="F45" s="17">
        <f t="shared" si="19"/>
        <v>5.2649999999999988E-2</v>
      </c>
      <c r="G45" s="25">
        <f t="shared" si="20"/>
        <v>-3.750000000000005E-4</v>
      </c>
      <c r="H45" s="25">
        <f t="shared" si="21"/>
        <v>1.3537499999999999E-2</v>
      </c>
      <c r="I45" s="25">
        <f t="shared" si="22"/>
        <v>3.6112499999999992E-2</v>
      </c>
      <c r="J45" s="16">
        <f t="shared" si="2"/>
        <v>5.0024999999999986E-2</v>
      </c>
      <c r="K45" s="26">
        <f t="shared" si="3"/>
        <v>-10.875000000000014</v>
      </c>
      <c r="L45" s="26">
        <f t="shared" si="4"/>
        <v>80</v>
      </c>
      <c r="M45" s="26">
        <f t="shared" si="5"/>
        <v>80</v>
      </c>
      <c r="N45" s="26">
        <f t="shared" si="6"/>
        <v>80</v>
      </c>
      <c r="O45" s="27">
        <f t="shared" si="7"/>
        <v>-184.00500000000025</v>
      </c>
      <c r="P45" s="27">
        <f t="shared" si="8"/>
        <v>1238.4000000000001</v>
      </c>
      <c r="Q45" s="27">
        <f t="shared" si="9"/>
        <v>1238.4000000000001</v>
      </c>
      <c r="R45" s="27">
        <f t="shared" si="10"/>
        <v>1353.6000000000001</v>
      </c>
      <c r="S45" s="27">
        <f t="shared" si="11"/>
        <v>-10067.400000000001</v>
      </c>
      <c r="T45" s="27">
        <f t="shared" si="12"/>
        <v>-6421.005000000001</v>
      </c>
      <c r="U45" s="27">
        <f t="shared" si="13"/>
        <v>-146810.61000000002</v>
      </c>
      <c r="V45" s="16">
        <f t="shared" si="14"/>
        <v>0.9</v>
      </c>
      <c r="W45" s="27">
        <f t="shared" si="15"/>
        <v>-5778.9045000000015</v>
      </c>
      <c r="X45" s="27">
        <f t="shared" si="16"/>
        <v>-132129.54900000003</v>
      </c>
      <c r="Y45" s="27">
        <f t="shared" si="17"/>
        <v>132129.54900000003</v>
      </c>
    </row>
    <row r="46" spans="1:30">
      <c r="B46" s="22">
        <v>0.45</v>
      </c>
      <c r="C46" s="23">
        <f t="shared" si="0"/>
        <v>19.285714285714288</v>
      </c>
      <c r="D46" s="29">
        <f t="shared" si="18"/>
        <v>6.0646900269541788E-2</v>
      </c>
      <c r="E46" s="25">
        <f t="shared" si="1"/>
        <v>-1.5555555555555554E-4</v>
      </c>
      <c r="F46" s="17">
        <f t="shared" si="19"/>
        <v>4.6466666666666663E-2</v>
      </c>
      <c r="G46" s="25">
        <f t="shared" si="20"/>
        <v>-6.6666666666666697E-4</v>
      </c>
      <c r="H46" s="25">
        <f t="shared" si="21"/>
        <v>1.1699999999999997E-2</v>
      </c>
      <c r="I46" s="25">
        <f t="shared" si="22"/>
        <v>3.1766666666666665E-2</v>
      </c>
      <c r="J46" s="16">
        <f t="shared" si="2"/>
        <v>4.413333333333333E-2</v>
      </c>
      <c r="K46" s="26">
        <f t="shared" si="3"/>
        <v>-19.333333333333343</v>
      </c>
      <c r="L46" s="26">
        <f t="shared" si="4"/>
        <v>80</v>
      </c>
      <c r="M46" s="26">
        <f t="shared" si="5"/>
        <v>80</v>
      </c>
      <c r="N46" s="26">
        <f t="shared" si="6"/>
        <v>80</v>
      </c>
      <c r="O46" s="27">
        <f t="shared" si="7"/>
        <v>-327.12000000000018</v>
      </c>
      <c r="P46" s="27">
        <f t="shared" si="8"/>
        <v>1238.4000000000001</v>
      </c>
      <c r="Q46" s="27">
        <f t="shared" si="9"/>
        <v>1238.4000000000001</v>
      </c>
      <c r="R46" s="27">
        <f t="shared" si="10"/>
        <v>1353.6000000000001</v>
      </c>
      <c r="S46" s="27">
        <f t="shared" si="11"/>
        <v>-11325.825000000003</v>
      </c>
      <c r="T46" s="27">
        <f t="shared" si="12"/>
        <v>-7822.5450000000019</v>
      </c>
      <c r="U46" s="27">
        <f t="shared" si="13"/>
        <v>-163865.04468750002</v>
      </c>
      <c r="V46" s="16">
        <f t="shared" si="14"/>
        <v>0.9</v>
      </c>
      <c r="W46" s="27">
        <f t="shared" si="15"/>
        <v>-7040.2905000000019</v>
      </c>
      <c r="X46" s="27">
        <f t="shared" si="16"/>
        <v>-147478.54021875001</v>
      </c>
      <c r="Y46" s="27">
        <f t="shared" si="17"/>
        <v>147478.54021875001</v>
      </c>
    </row>
    <row r="47" spans="1:30">
      <c r="B47" s="22">
        <v>0.5</v>
      </c>
      <c r="C47" s="23">
        <f t="shared" si="0"/>
        <v>21.428571428571431</v>
      </c>
      <c r="D47" s="29">
        <f t="shared" si="18"/>
        <v>6.7385444743935319E-2</v>
      </c>
      <c r="E47" s="25">
        <f t="shared" si="1"/>
        <v>-1.3999999999999999E-4</v>
      </c>
      <c r="F47" s="17">
        <f t="shared" si="19"/>
        <v>4.1519999999999994E-2</v>
      </c>
      <c r="G47" s="25">
        <f t="shared" si="20"/>
        <v>-9.0000000000000019E-4</v>
      </c>
      <c r="H47" s="25">
        <f t="shared" si="21"/>
        <v>1.023E-2</v>
      </c>
      <c r="I47" s="25">
        <f t="shared" si="22"/>
        <v>2.8289999999999996E-2</v>
      </c>
      <c r="J47" s="16">
        <f t="shared" si="2"/>
        <v>3.9419999999999997E-2</v>
      </c>
      <c r="K47" s="26">
        <f t="shared" si="3"/>
        <v>-26.100000000000005</v>
      </c>
      <c r="L47" s="26">
        <f t="shared" si="4"/>
        <v>80</v>
      </c>
      <c r="M47" s="26">
        <f t="shared" si="5"/>
        <v>80</v>
      </c>
      <c r="N47" s="26">
        <f t="shared" si="6"/>
        <v>80</v>
      </c>
      <c r="O47" s="27">
        <f t="shared" si="7"/>
        <v>-441.61200000000014</v>
      </c>
      <c r="P47" s="27">
        <f t="shared" si="8"/>
        <v>1238.4000000000001</v>
      </c>
      <c r="Q47" s="27">
        <f t="shared" si="9"/>
        <v>1238.4000000000001</v>
      </c>
      <c r="R47" s="27">
        <f t="shared" si="10"/>
        <v>1353.6000000000001</v>
      </c>
      <c r="S47" s="27">
        <f t="shared" si="11"/>
        <v>-12584.25</v>
      </c>
      <c r="T47" s="27">
        <f t="shared" si="12"/>
        <v>-9195.4619999999995</v>
      </c>
      <c r="U47" s="27">
        <f t="shared" si="13"/>
        <v>-180418.70024999999</v>
      </c>
      <c r="V47" s="16">
        <f t="shared" si="14"/>
        <v>0.9</v>
      </c>
      <c r="W47" s="27">
        <f t="shared" si="15"/>
        <v>-8275.9158000000007</v>
      </c>
      <c r="X47" s="27">
        <f t="shared" si="16"/>
        <v>-162376.83022500001</v>
      </c>
      <c r="Y47" s="27">
        <f t="shared" si="17"/>
        <v>162376.83022500001</v>
      </c>
    </row>
    <row r="48" spans="1:30">
      <c r="B48" s="22">
        <v>0.55000000000000004</v>
      </c>
      <c r="C48" s="23">
        <f t="shared" si="0"/>
        <v>23.571428571428573</v>
      </c>
      <c r="D48" s="29">
        <f t="shared" si="18"/>
        <v>7.4123989218328842E-2</v>
      </c>
      <c r="E48" s="25">
        <f t="shared" si="1"/>
        <v>-1.2727272727272725E-4</v>
      </c>
      <c r="F48" s="17">
        <f t="shared" si="19"/>
        <v>3.7472727272727269E-2</v>
      </c>
      <c r="G48" s="25">
        <f t="shared" si="20"/>
        <v>-1.090909090909091E-3</v>
      </c>
      <c r="H48" s="25">
        <f t="shared" si="21"/>
        <v>9.0272727272727258E-3</v>
      </c>
      <c r="I48" s="25">
        <f t="shared" si="22"/>
        <v>2.5445454545454538E-2</v>
      </c>
      <c r="J48" s="16">
        <f t="shared" si="2"/>
        <v>3.556363636363636E-2</v>
      </c>
      <c r="K48" s="26">
        <f t="shared" si="3"/>
        <v>-31.636363636363637</v>
      </c>
      <c r="L48" s="26">
        <f t="shared" si="4"/>
        <v>80</v>
      </c>
      <c r="M48" s="26">
        <f t="shared" si="5"/>
        <v>80</v>
      </c>
      <c r="N48" s="26">
        <f t="shared" si="6"/>
        <v>80</v>
      </c>
      <c r="O48" s="27">
        <f t="shared" si="7"/>
        <v>-535.28727272727281</v>
      </c>
      <c r="P48" s="27">
        <f t="shared" si="8"/>
        <v>1238.4000000000001</v>
      </c>
      <c r="Q48" s="27">
        <f t="shared" si="9"/>
        <v>1238.4000000000001</v>
      </c>
      <c r="R48" s="27">
        <f t="shared" si="10"/>
        <v>1353.6000000000001</v>
      </c>
      <c r="S48" s="27">
        <f t="shared" si="11"/>
        <v>-13842.675000000001</v>
      </c>
      <c r="T48" s="27">
        <f t="shared" si="12"/>
        <v>-10547.562272727275</v>
      </c>
      <c r="U48" s="27">
        <f t="shared" si="13"/>
        <v>-196565.25196022727</v>
      </c>
      <c r="V48" s="16">
        <f t="shared" si="14"/>
        <v>0.9</v>
      </c>
      <c r="W48" s="27">
        <f t="shared" si="15"/>
        <v>-9492.8060454545484</v>
      </c>
      <c r="X48" s="27">
        <f t="shared" si="16"/>
        <v>-176908.72676420453</v>
      </c>
      <c r="Y48" s="27">
        <f t="shared" si="17"/>
        <v>176908.72676420453</v>
      </c>
    </row>
    <row r="49" spans="2:25">
      <c r="B49" s="22">
        <v>0.6</v>
      </c>
      <c r="C49" s="23">
        <f t="shared" si="0"/>
        <v>25.714285714285715</v>
      </c>
      <c r="D49" s="29">
        <f t="shared" si="18"/>
        <v>8.086253369272238E-2</v>
      </c>
      <c r="E49" s="25">
        <f t="shared" si="1"/>
        <v>-1.1666666666666667E-4</v>
      </c>
      <c r="F49" s="17">
        <f t="shared" si="19"/>
        <v>3.4099999999999998E-2</v>
      </c>
      <c r="G49" s="25">
        <f t="shared" si="20"/>
        <v>-1.25E-3</v>
      </c>
      <c r="H49" s="25">
        <f t="shared" si="21"/>
        <v>8.0249999999999991E-3</v>
      </c>
      <c r="I49" s="25">
        <f t="shared" si="22"/>
        <v>2.3074999999999998E-2</v>
      </c>
      <c r="J49" s="16">
        <f t="shared" si="2"/>
        <v>3.2349999999999997E-2</v>
      </c>
      <c r="K49" s="26">
        <f t="shared" si="3"/>
        <v>-36.25</v>
      </c>
      <c r="L49" s="26">
        <f t="shared" si="4"/>
        <v>80</v>
      </c>
      <c r="M49" s="26">
        <f t="shared" si="5"/>
        <v>80</v>
      </c>
      <c r="N49" s="26">
        <f t="shared" si="6"/>
        <v>80</v>
      </c>
      <c r="O49" s="27">
        <f t="shared" si="7"/>
        <v>-613.35</v>
      </c>
      <c r="P49" s="27">
        <f t="shared" si="8"/>
        <v>1238.4000000000001</v>
      </c>
      <c r="Q49" s="27">
        <f t="shared" si="9"/>
        <v>1238.4000000000001</v>
      </c>
      <c r="R49" s="27">
        <f t="shared" si="10"/>
        <v>1353.6000000000001</v>
      </c>
      <c r="S49" s="27">
        <f t="shared" si="11"/>
        <v>-15101.1</v>
      </c>
      <c r="T49" s="27">
        <f t="shared" si="12"/>
        <v>-11884.05</v>
      </c>
      <c r="U49" s="27">
        <f t="shared" si="13"/>
        <v>-212367.15</v>
      </c>
      <c r="V49" s="16">
        <f t="shared" si="14"/>
        <v>0.9</v>
      </c>
      <c r="W49" s="27">
        <f t="shared" si="15"/>
        <v>-10695.645</v>
      </c>
      <c r="X49" s="27">
        <f t="shared" si="16"/>
        <v>-191130.435</v>
      </c>
      <c r="Y49" s="27">
        <f t="shared" si="17"/>
        <v>191130.435</v>
      </c>
    </row>
    <row r="50" spans="2:25">
      <c r="B50" s="22">
        <v>0.65</v>
      </c>
      <c r="C50" s="23">
        <f t="shared" si="0"/>
        <v>27.857142857142861</v>
      </c>
      <c r="D50" s="29">
        <f t="shared" si="18"/>
        <v>8.7601078167115917E-2</v>
      </c>
      <c r="E50" s="25">
        <f t="shared" si="1"/>
        <v>-1.0769230769230768E-4</v>
      </c>
      <c r="F50" s="17">
        <f t="shared" si="19"/>
        <v>3.124615384615384E-2</v>
      </c>
      <c r="G50" s="25">
        <f t="shared" si="20"/>
        <v>-1.384615384615385E-3</v>
      </c>
      <c r="H50" s="25">
        <f t="shared" si="21"/>
        <v>7.1769230769230755E-3</v>
      </c>
      <c r="I50" s="25">
        <f t="shared" si="22"/>
        <v>2.1069230769230767E-2</v>
      </c>
      <c r="J50" s="16">
        <f t="shared" si="2"/>
        <v>2.9630769230769224E-2</v>
      </c>
      <c r="K50" s="26">
        <f t="shared" si="3"/>
        <v>-40.15384615384616</v>
      </c>
      <c r="L50" s="26">
        <f t="shared" si="4"/>
        <v>80</v>
      </c>
      <c r="M50" s="26">
        <f t="shared" si="5"/>
        <v>80</v>
      </c>
      <c r="N50" s="26">
        <f t="shared" si="6"/>
        <v>80</v>
      </c>
      <c r="O50" s="27">
        <f t="shared" si="7"/>
        <v>-679.40307692307715</v>
      </c>
      <c r="P50" s="27">
        <f t="shared" si="8"/>
        <v>1238.4000000000001</v>
      </c>
      <c r="Q50" s="27">
        <f t="shared" si="9"/>
        <v>1238.4000000000001</v>
      </c>
      <c r="R50" s="27">
        <f t="shared" si="10"/>
        <v>1353.6000000000001</v>
      </c>
      <c r="S50" s="27">
        <f t="shared" si="11"/>
        <v>-16359.525</v>
      </c>
      <c r="T50" s="27">
        <f t="shared" si="12"/>
        <v>-13208.528076923078</v>
      </c>
      <c r="U50" s="27">
        <f t="shared" si="13"/>
        <v>-227867.62911057691</v>
      </c>
      <c r="V50" s="16">
        <f t="shared" si="14"/>
        <v>0.9</v>
      </c>
      <c r="W50" s="27">
        <f t="shared" si="15"/>
        <v>-11887.675269230771</v>
      </c>
      <c r="X50" s="27">
        <f t="shared" si="16"/>
        <v>-205080.86619951922</v>
      </c>
      <c r="Y50" s="27">
        <f t="shared" si="17"/>
        <v>205080.86619951922</v>
      </c>
    </row>
    <row r="51" spans="2:25">
      <c r="B51" s="22">
        <v>0.7</v>
      </c>
      <c r="C51" s="23">
        <f t="shared" si="0"/>
        <v>30</v>
      </c>
      <c r="D51" s="29">
        <f t="shared" si="18"/>
        <v>9.4339622641509441E-2</v>
      </c>
      <c r="E51" s="25">
        <f t="shared" si="1"/>
        <v>-1E-4</v>
      </c>
      <c r="F51" s="17">
        <f t="shared" si="19"/>
        <v>2.8800000000000003E-2</v>
      </c>
      <c r="G51" s="25">
        <f t="shared" si="20"/>
        <v>-1.5E-3</v>
      </c>
      <c r="H51" s="25">
        <f t="shared" si="21"/>
        <v>6.45E-3</v>
      </c>
      <c r="I51" s="25">
        <f t="shared" si="22"/>
        <v>1.9350000000000003E-2</v>
      </c>
      <c r="J51" s="16">
        <f t="shared" si="2"/>
        <v>2.7300000000000001E-2</v>
      </c>
      <c r="K51" s="26">
        <f t="shared" si="3"/>
        <v>-43.5</v>
      </c>
      <c r="L51" s="26">
        <f t="shared" si="4"/>
        <v>80</v>
      </c>
      <c r="M51" s="26">
        <f t="shared" si="5"/>
        <v>80</v>
      </c>
      <c r="N51" s="26">
        <f t="shared" si="6"/>
        <v>80</v>
      </c>
      <c r="O51" s="27">
        <f t="shared" si="7"/>
        <v>-736.0200000000001</v>
      </c>
      <c r="P51" s="27">
        <f t="shared" si="8"/>
        <v>1238.4000000000001</v>
      </c>
      <c r="Q51" s="27">
        <f t="shared" si="9"/>
        <v>1238.4000000000001</v>
      </c>
      <c r="R51" s="27">
        <f t="shared" si="10"/>
        <v>1353.6000000000001</v>
      </c>
      <c r="S51" s="27">
        <f t="shared" si="11"/>
        <v>-17617.95</v>
      </c>
      <c r="T51" s="27">
        <f t="shared" si="12"/>
        <v>-14523.57</v>
      </c>
      <c r="U51" s="27">
        <f t="shared" si="13"/>
        <v>-243097.57125000001</v>
      </c>
      <c r="V51" s="16">
        <f t="shared" si="14"/>
        <v>0.9</v>
      </c>
      <c r="W51" s="27">
        <f t="shared" si="15"/>
        <v>-13071.213</v>
      </c>
      <c r="X51" s="27">
        <f t="shared" si="16"/>
        <v>-218787.814125</v>
      </c>
      <c r="Y51" s="27">
        <f t="shared" si="17"/>
        <v>218787.814125</v>
      </c>
    </row>
    <row r="52" spans="2:25">
      <c r="B52" s="22">
        <v>0.75</v>
      </c>
      <c r="C52" s="23">
        <f t="shared" si="0"/>
        <v>32.142857142857139</v>
      </c>
      <c r="D52" s="29">
        <f t="shared" si="18"/>
        <v>0.10107816711590295</v>
      </c>
      <c r="E52" s="25">
        <f t="shared" si="1"/>
        <v>-9.3333333333333343E-5</v>
      </c>
      <c r="F52" s="17">
        <f t="shared" si="19"/>
        <v>2.6680000000000006E-2</v>
      </c>
      <c r="G52" s="25">
        <f t="shared" si="20"/>
        <v>-1.5999999999999999E-3</v>
      </c>
      <c r="H52" s="25">
        <f t="shared" si="21"/>
        <v>5.8200000000000014E-3</v>
      </c>
      <c r="I52" s="25">
        <f t="shared" si="22"/>
        <v>1.7860000000000001E-2</v>
      </c>
      <c r="J52" s="16">
        <f t="shared" si="2"/>
        <v>2.5280000000000007E-2</v>
      </c>
      <c r="K52" s="26">
        <f t="shared" si="3"/>
        <v>-46.4</v>
      </c>
      <c r="L52" s="26">
        <f t="shared" si="4"/>
        <v>80</v>
      </c>
      <c r="M52" s="26">
        <f t="shared" si="5"/>
        <v>80</v>
      </c>
      <c r="N52" s="26">
        <f t="shared" si="6"/>
        <v>80</v>
      </c>
      <c r="O52" s="27">
        <f t="shared" si="7"/>
        <v>-785.08800000000008</v>
      </c>
      <c r="P52" s="27">
        <f t="shared" si="8"/>
        <v>1238.4000000000001</v>
      </c>
      <c r="Q52" s="27">
        <f t="shared" si="9"/>
        <v>1238.4000000000001</v>
      </c>
      <c r="R52" s="27">
        <f t="shared" si="10"/>
        <v>1353.6000000000001</v>
      </c>
      <c r="S52" s="27">
        <f t="shared" si="11"/>
        <v>-18876.374999999996</v>
      </c>
      <c r="T52" s="27">
        <f t="shared" si="12"/>
        <v>-15831.062999999996</v>
      </c>
      <c r="U52" s="27">
        <f t="shared" si="13"/>
        <v>-258079.62318749994</v>
      </c>
      <c r="V52" s="16">
        <f t="shared" si="14"/>
        <v>0.9</v>
      </c>
      <c r="W52" s="27">
        <f t="shared" si="15"/>
        <v>-14247.956699999997</v>
      </c>
      <c r="X52" s="27">
        <f t="shared" si="16"/>
        <v>-232271.66086874995</v>
      </c>
      <c r="Y52" s="27">
        <f t="shared" si="17"/>
        <v>232271.66086874995</v>
      </c>
    </row>
    <row r="53" spans="2:25">
      <c r="B53" s="22">
        <v>0.8</v>
      </c>
      <c r="C53" s="23">
        <f t="shared" si="0"/>
        <v>34.285714285714292</v>
      </c>
      <c r="D53" s="29">
        <f t="shared" si="18"/>
        <v>0.10781671159029652</v>
      </c>
      <c r="E53" s="25">
        <f t="shared" si="1"/>
        <v>-8.7499999999999986E-5</v>
      </c>
      <c r="F53" s="17">
        <f t="shared" si="19"/>
        <v>2.4824999999999996E-2</v>
      </c>
      <c r="G53" s="25">
        <f t="shared" si="20"/>
        <v>-1.6875000000000002E-3</v>
      </c>
      <c r="H53" s="25">
        <f t="shared" si="21"/>
        <v>5.2687499999999983E-3</v>
      </c>
      <c r="I53" s="25">
        <f t="shared" si="22"/>
        <v>1.6556249999999998E-2</v>
      </c>
      <c r="J53" s="16">
        <f t="shared" si="2"/>
        <v>2.3512499999999995E-2</v>
      </c>
      <c r="K53" s="26">
        <f t="shared" si="3"/>
        <v>-48.937500000000007</v>
      </c>
      <c r="L53" s="26">
        <f t="shared" si="4"/>
        <v>80</v>
      </c>
      <c r="M53" s="26">
        <f t="shared" si="5"/>
        <v>80</v>
      </c>
      <c r="N53" s="26">
        <f t="shared" si="6"/>
        <v>80</v>
      </c>
      <c r="O53" s="27">
        <f t="shared" si="7"/>
        <v>-828.02250000000015</v>
      </c>
      <c r="P53" s="27">
        <f t="shared" si="8"/>
        <v>1238.4000000000001</v>
      </c>
      <c r="Q53" s="27">
        <f t="shared" si="9"/>
        <v>1238.4000000000001</v>
      </c>
      <c r="R53" s="27">
        <f t="shared" si="10"/>
        <v>1353.6000000000001</v>
      </c>
      <c r="S53" s="27">
        <f t="shared" si="11"/>
        <v>-20134.800000000003</v>
      </c>
      <c r="T53" s="27">
        <f t="shared" si="12"/>
        <v>-17132.422500000001</v>
      </c>
      <c r="U53" s="27">
        <f t="shared" si="13"/>
        <v>-272830.77000000008</v>
      </c>
      <c r="V53" s="16">
        <f t="shared" si="14"/>
        <v>0.9</v>
      </c>
      <c r="W53" s="27">
        <f t="shared" si="15"/>
        <v>-15419.180250000001</v>
      </c>
      <c r="X53" s="27">
        <f t="shared" si="16"/>
        <v>-245547.69300000009</v>
      </c>
      <c r="Y53" s="27">
        <f t="shared" si="17"/>
        <v>245547.69300000009</v>
      </c>
    </row>
    <row r="54" spans="2:25">
      <c r="B54" s="22">
        <v>0.85</v>
      </c>
      <c r="C54" s="23">
        <f t="shared" si="0"/>
        <v>36.428571428571431</v>
      </c>
      <c r="D54" s="29">
        <f t="shared" si="18"/>
        <v>0.11455525606469004</v>
      </c>
      <c r="E54" s="25">
        <f t="shared" si="1"/>
        <v>-8.2352941176470581E-5</v>
      </c>
      <c r="F54" s="17">
        <f t="shared" si="19"/>
        <v>2.3188235294117645E-2</v>
      </c>
      <c r="G54" s="25">
        <f t="shared" si="20"/>
        <v>-1.7647058823529412E-3</v>
      </c>
      <c r="H54" s="25">
        <f t="shared" si="21"/>
        <v>4.7823529411764702E-3</v>
      </c>
      <c r="I54" s="25">
        <f t="shared" si="22"/>
        <v>1.5405882352941174E-2</v>
      </c>
      <c r="J54" s="16">
        <f t="shared" si="2"/>
        <v>2.1952941176470585E-2</v>
      </c>
      <c r="K54" s="26">
        <f t="shared" si="3"/>
        <v>-51.176470588235297</v>
      </c>
      <c r="L54" s="26">
        <f t="shared" si="4"/>
        <v>80</v>
      </c>
      <c r="M54" s="26">
        <f t="shared" si="5"/>
        <v>80</v>
      </c>
      <c r="N54" s="26">
        <f t="shared" si="6"/>
        <v>80</v>
      </c>
      <c r="O54" s="27">
        <f t="shared" si="7"/>
        <v>-865.90588235294126</v>
      </c>
      <c r="P54" s="27">
        <f t="shared" si="8"/>
        <v>1238.4000000000001</v>
      </c>
      <c r="Q54" s="27">
        <f t="shared" si="9"/>
        <v>1238.4000000000001</v>
      </c>
      <c r="R54" s="27">
        <f t="shared" si="10"/>
        <v>1353.6000000000001</v>
      </c>
      <c r="S54" s="27">
        <f t="shared" si="11"/>
        <v>-21393.225000000002</v>
      </c>
      <c r="T54" s="27">
        <f t="shared" si="12"/>
        <v>-18428.730882352942</v>
      </c>
      <c r="U54" s="27">
        <f t="shared" si="13"/>
        <v>-287364.00027573534</v>
      </c>
      <c r="V54" s="16">
        <f t="shared" si="14"/>
        <v>0.9</v>
      </c>
      <c r="W54" s="27">
        <f t="shared" si="15"/>
        <v>-16585.857794117648</v>
      </c>
      <c r="X54" s="27">
        <f t="shared" si="16"/>
        <v>-258627.60024816182</v>
      </c>
      <c r="Y54" s="27">
        <f t="shared" si="17"/>
        <v>258627.60024816182</v>
      </c>
    </row>
    <row r="55" spans="2:25">
      <c r="B55" s="22">
        <v>0.9</v>
      </c>
      <c r="C55" s="23">
        <f t="shared" si="0"/>
        <v>38.571428571428577</v>
      </c>
      <c r="D55" s="29">
        <f t="shared" si="18"/>
        <v>0.12129380053908358</v>
      </c>
      <c r="E55" s="25">
        <f t="shared" si="1"/>
        <v>-7.7777777777777768E-5</v>
      </c>
      <c r="F55" s="17">
        <f t="shared" si="19"/>
        <v>2.173333333333333E-2</v>
      </c>
      <c r="G55" s="25">
        <f t="shared" si="20"/>
        <v>-1.8333333333333335E-3</v>
      </c>
      <c r="H55" s="25">
        <f t="shared" si="21"/>
        <v>4.3499999999999988E-3</v>
      </c>
      <c r="I55" s="25">
        <f t="shared" si="22"/>
        <v>1.4383333333333331E-2</v>
      </c>
      <c r="J55" s="16">
        <f t="shared" si="2"/>
        <v>2.0566666666666664E-2</v>
      </c>
      <c r="K55" s="26">
        <f t="shared" si="3"/>
        <v>-53.166666666666671</v>
      </c>
      <c r="L55" s="26">
        <f t="shared" si="4"/>
        <v>80</v>
      </c>
      <c r="M55" s="26">
        <f t="shared" si="5"/>
        <v>80</v>
      </c>
      <c r="N55" s="26">
        <f t="shared" si="6"/>
        <v>80</v>
      </c>
      <c r="O55" s="27">
        <f t="shared" si="7"/>
        <v>-899.58000000000015</v>
      </c>
      <c r="P55" s="27">
        <f t="shared" si="8"/>
        <v>1238.4000000000001</v>
      </c>
      <c r="Q55" s="27">
        <f t="shared" si="9"/>
        <v>1238.4000000000001</v>
      </c>
      <c r="R55" s="27">
        <f t="shared" si="10"/>
        <v>1353.6000000000001</v>
      </c>
      <c r="S55" s="27">
        <f t="shared" si="11"/>
        <v>-22651.650000000005</v>
      </c>
      <c r="T55" s="27">
        <f t="shared" si="12"/>
        <v>-19720.830000000005</v>
      </c>
      <c r="U55" s="27">
        <f t="shared" si="13"/>
        <v>-301689.41625000007</v>
      </c>
      <c r="V55" s="16">
        <f t="shared" si="14"/>
        <v>0.9</v>
      </c>
      <c r="W55" s="27">
        <f t="shared" si="15"/>
        <v>-17748.747000000007</v>
      </c>
      <c r="X55" s="27">
        <f t="shared" si="16"/>
        <v>-271520.47462500009</v>
      </c>
      <c r="Y55" s="27">
        <f t="shared" si="17"/>
        <v>271520.47462500009</v>
      </c>
    </row>
    <row r="57" spans="2:25">
      <c r="B57" s="22"/>
      <c r="C57" s="26"/>
      <c r="D57" s="29"/>
    </row>
    <row r="58" spans="2:25">
      <c r="B58" s="22"/>
      <c r="C58" s="26"/>
      <c r="D58" s="29"/>
    </row>
    <row r="59" spans="2:25">
      <c r="B59" s="22"/>
      <c r="C59" s="26"/>
      <c r="D59" s="29"/>
    </row>
    <row r="60" spans="2:25">
      <c r="B60" s="11" t="s">
        <v>7</v>
      </c>
      <c r="D60" s="33">
        <v>6.0000000000000001E-3</v>
      </c>
    </row>
    <row r="61" spans="2:25">
      <c r="B61" s="9" t="s">
        <v>8</v>
      </c>
      <c r="C61" s="9" t="s">
        <v>15</v>
      </c>
      <c r="D61" s="26">
        <f>D60*(D10*D12)</f>
        <v>25.38</v>
      </c>
    </row>
    <row r="62" spans="2:25">
      <c r="B62" s="9" t="s">
        <v>9</v>
      </c>
      <c r="C62" s="9" t="s">
        <v>15</v>
      </c>
      <c r="D62" s="26">
        <f>D60*(D11-(2*D12))/2*D13</f>
        <v>23.22</v>
      </c>
    </row>
    <row r="63" spans="2:25">
      <c r="B63" s="9" t="s">
        <v>10</v>
      </c>
      <c r="C63" s="9" t="s">
        <v>15</v>
      </c>
      <c r="D63" s="26">
        <f>D62</f>
        <v>23.22</v>
      </c>
    </row>
    <row r="64" spans="2:25">
      <c r="B64" s="9" t="s">
        <v>59</v>
      </c>
      <c r="C64" s="9" t="s">
        <v>15</v>
      </c>
      <c r="D64" s="26">
        <f>D61</f>
        <v>25.38</v>
      </c>
    </row>
    <row r="65" spans="1:25">
      <c r="A65" s="15" t="s">
        <v>36</v>
      </c>
      <c r="B65" s="22"/>
      <c r="C65" s="23"/>
      <c r="D65" s="23"/>
      <c r="E65" s="24"/>
      <c r="F65" s="17"/>
      <c r="G65" s="25"/>
      <c r="H65" s="25"/>
      <c r="I65" s="25"/>
      <c r="J65" s="25"/>
      <c r="K65" s="26"/>
      <c r="L65" s="26"/>
      <c r="M65" s="26"/>
      <c r="N65" s="26"/>
      <c r="O65" s="27"/>
      <c r="P65" s="27"/>
      <c r="Q65" s="27"/>
      <c r="R65" s="27"/>
      <c r="S65" s="27"/>
      <c r="T65" s="27"/>
      <c r="U65" s="27"/>
      <c r="V65" s="16"/>
      <c r="W65" s="27"/>
      <c r="X65" s="27"/>
    </row>
    <row r="66" spans="1:25">
      <c r="B66" s="22">
        <v>1.0000000000000001E-5</v>
      </c>
      <c r="C66" s="28">
        <f t="shared" ref="C66" si="23">B66/$D$15*$D$13</f>
        <v>4.285714285714286E-4</v>
      </c>
      <c r="D66" s="29">
        <f>C66/$D$10</f>
        <v>3.0395136778115506E-6</v>
      </c>
      <c r="E66" s="36">
        <f t="shared" ref="E66:E84" si="24">-0.003/C66</f>
        <v>-7</v>
      </c>
      <c r="F66" s="17">
        <f>E66*(C66-$D$11)</f>
        <v>2225.9969999999998</v>
      </c>
      <c r="G66" s="25">
        <f>E66*(C66-($D$20))</f>
        <v>104.997</v>
      </c>
      <c r="H66" s="25">
        <f>E66*(C66-($D$21))</f>
        <v>661.49699999999996</v>
      </c>
      <c r="I66" s="17">
        <f>E66*(C66-($D$22))</f>
        <v>1564.4970000000001</v>
      </c>
      <c r="J66" s="16">
        <f>E66*(C66-$D$23)</f>
        <v>2120.9969999999998</v>
      </c>
      <c r="K66" s="26">
        <f>SIGN(G66)*MIN($D$8*ABS(G66),$D$7)</f>
        <v>80</v>
      </c>
      <c r="L66" s="26">
        <f>SIGN(H66)*MIN($D$8*ABS(H66),$D$7)</f>
        <v>80</v>
      </c>
      <c r="M66" s="26">
        <f>SIGN(I66)*MIN($D$8*ABS(I66),$D$7)</f>
        <v>80</v>
      </c>
      <c r="N66" s="26">
        <f>SIGN(J66)*MIN($D$8*ABS(J66),$D$7)</f>
        <v>80</v>
      </c>
      <c r="O66" s="27">
        <f>$D$61*K66</f>
        <v>2030.3999999999999</v>
      </c>
      <c r="P66" s="27">
        <f>$D$62*L66</f>
        <v>1857.6</v>
      </c>
      <c r="Q66" s="27">
        <f>$D$63*M66</f>
        <v>1857.6</v>
      </c>
      <c r="R66" s="27">
        <f>N66*$D$64</f>
        <v>2030.3999999999999</v>
      </c>
      <c r="S66" s="27">
        <f>$D$15*C66*$D$10*(-0.85*$D$6)</f>
        <v>-0.25168500000000005</v>
      </c>
      <c r="T66" s="27">
        <f>SUM(O66:S66)</f>
        <v>7775.7483149999998</v>
      </c>
      <c r="U66" s="27">
        <f>(S66*($D$18-$D$15*C66/2)+O66*($D$18-$D$20)+P66*($D$18-$D$21)+Q66*($D$18-$D$22)+R66*($D$18-$D$23))/12</f>
        <v>-3.3348231039368934</v>
      </c>
      <c r="V66" s="16">
        <f>MAX(0.65,MIN(0.9,0.65+(F66-0.002)*250/3))</f>
        <v>0.9</v>
      </c>
      <c r="W66" s="27">
        <f>V66*T66</f>
        <v>6998.1734834999997</v>
      </c>
      <c r="X66" s="27">
        <f>V66*U66</f>
        <v>-3.0013407935432039</v>
      </c>
      <c r="Y66" s="27">
        <f>-X66</f>
        <v>3.0013407935432039</v>
      </c>
    </row>
    <row r="67" spans="1:25">
      <c r="B67" s="22">
        <v>0.05</v>
      </c>
      <c r="C67" s="23">
        <f>B67/$D$15*$D$13</f>
        <v>2.1428571428571432</v>
      </c>
      <c r="D67" s="29">
        <f>C67/$D$11</f>
        <v>6.7385444743935322E-3</v>
      </c>
      <c r="E67" s="36">
        <f t="shared" si="24"/>
        <v>-1.3999999999999998E-3</v>
      </c>
      <c r="F67" s="17">
        <f>E67*(C67-$D$11)</f>
        <v>0.44219999999999987</v>
      </c>
      <c r="G67" s="25">
        <f>E67*(C67-($D$20))</f>
        <v>1.7999999999999999E-2</v>
      </c>
      <c r="H67" s="25">
        <f>E67*(C67-($D$21))</f>
        <v>0.12929999999999997</v>
      </c>
      <c r="I67" s="25">
        <f>E67*(C67-($D$22))</f>
        <v>0.30989999999999995</v>
      </c>
      <c r="J67" s="16">
        <f t="shared" ref="J67:J84" si="25">E67*(C67-$D$23)</f>
        <v>0.42119999999999991</v>
      </c>
      <c r="K67" s="26">
        <f t="shared" ref="K67:K84" si="26">SIGN(G67)*MIN($D$8*ABS(G67),$D$7)</f>
        <v>80</v>
      </c>
      <c r="L67" s="26">
        <f t="shared" ref="L67:L84" si="27">SIGN(H67)*MIN($D$8*ABS(H67),$D$7)</f>
        <v>80</v>
      </c>
      <c r="M67" s="26">
        <f t="shared" ref="M67:M84" si="28">SIGN(I67)*MIN($D$8*ABS(I67),$D$7)</f>
        <v>80</v>
      </c>
      <c r="N67" s="26">
        <f t="shared" ref="N67:N84" si="29">SIGN(J67)*MIN($D$8*ABS(J67),$D$7)</f>
        <v>80</v>
      </c>
      <c r="O67" s="27">
        <f>$D$61*K67</f>
        <v>2030.3999999999999</v>
      </c>
      <c r="P67" s="27">
        <f>$D$62*L67</f>
        <v>1857.6</v>
      </c>
      <c r="Q67" s="27">
        <f>$D$63*M67</f>
        <v>1857.6</v>
      </c>
      <c r="R67" s="27">
        <f>N67*$D$64</f>
        <v>2030.3999999999999</v>
      </c>
      <c r="S67" s="27">
        <f t="shared" ref="S67:S84" si="30">$D$15*C67*$D$10*(-0.85*$D$6)</f>
        <v>-1258.4250000000002</v>
      </c>
      <c r="T67" s="27">
        <f t="shared" ref="T67:T84" si="31">SUM(O67:S67)</f>
        <v>6517.5749999999998</v>
      </c>
      <c r="U67" s="27">
        <f t="shared" ref="U67:U84" si="32">(S67*($D$18-$D$15*C67/2)+O67*($D$18-$D$20)+P67*($D$18-$D$21)+Q67*($D$18-$D$22)+R67*($D$18-$D$23))/12</f>
        <v>-16595.479687500003</v>
      </c>
      <c r="V67" s="16">
        <f t="shared" ref="V67:V84" si="33">MAX(0.65,MIN(0.9,0.65+(F67-0.002)*250/3))</f>
        <v>0.9</v>
      </c>
      <c r="W67" s="27">
        <f t="shared" ref="W67:W84" si="34">V67*T67</f>
        <v>5865.8175000000001</v>
      </c>
      <c r="X67" s="27">
        <f t="shared" ref="X67:X84" si="35">V67*U67</f>
        <v>-14935.931718750004</v>
      </c>
      <c r="Y67" s="27">
        <f t="shared" ref="Y67:Y84" si="36">-X67</f>
        <v>14935.931718750004</v>
      </c>
    </row>
    <row r="68" spans="1:25">
      <c r="B68" s="22">
        <v>0.1</v>
      </c>
      <c r="C68" s="23">
        <f>B68/$D$15*$D$13</f>
        <v>4.2857142857142865</v>
      </c>
      <c r="D68" s="29">
        <f t="shared" ref="D68:D84" si="37">C68/$D$11</f>
        <v>1.3477088948787064E-2</v>
      </c>
      <c r="E68" s="36">
        <f t="shared" si="24"/>
        <v>-6.9999999999999988E-4</v>
      </c>
      <c r="F68" s="17">
        <f t="shared" ref="F68:F84" si="38">E68*(C68-$D$11)</f>
        <v>0.21959999999999996</v>
      </c>
      <c r="G68" s="25">
        <f t="shared" ref="G68:G84" si="39">E68*(C68-($D$20))</f>
        <v>7.499999999999998E-3</v>
      </c>
      <c r="H68" s="25">
        <f t="shared" ref="H68:H84" si="40">E68*(C68-($D$21))</f>
        <v>6.3149999999999984E-2</v>
      </c>
      <c r="I68" s="25">
        <f t="shared" ref="I68:I84" si="41">E68*(C68-($D$22))</f>
        <v>0.15344999999999998</v>
      </c>
      <c r="J68" s="16">
        <f t="shared" si="25"/>
        <v>0.20909999999999998</v>
      </c>
      <c r="K68" s="26">
        <f t="shared" si="26"/>
        <v>80</v>
      </c>
      <c r="L68" s="26">
        <f t="shared" si="27"/>
        <v>80</v>
      </c>
      <c r="M68" s="26">
        <f t="shared" si="28"/>
        <v>80</v>
      </c>
      <c r="N68" s="26">
        <f t="shared" si="29"/>
        <v>80</v>
      </c>
      <c r="O68" s="27">
        <f t="shared" ref="O68:O84" si="42">$D$61*K68</f>
        <v>2030.3999999999999</v>
      </c>
      <c r="P68" s="27">
        <f t="shared" ref="P68:P84" si="43">$D$62*L68</f>
        <v>1857.6</v>
      </c>
      <c r="Q68" s="27">
        <f t="shared" ref="Q68:Q84" si="44">$D$63*M68</f>
        <v>1857.6</v>
      </c>
      <c r="R68" s="27">
        <f t="shared" ref="R68:R84" si="45">N68*$D$64</f>
        <v>2030.3999999999999</v>
      </c>
      <c r="S68" s="27">
        <f t="shared" si="30"/>
        <v>-2516.8500000000004</v>
      </c>
      <c r="T68" s="27">
        <f t="shared" si="31"/>
        <v>5259.15</v>
      </c>
      <c r="U68" s="27">
        <f t="shared" si="32"/>
        <v>-33033.656250000007</v>
      </c>
      <c r="V68" s="16">
        <f t="shared" si="33"/>
        <v>0.9</v>
      </c>
      <c r="W68" s="27">
        <f t="shared" si="34"/>
        <v>4733.2349999999997</v>
      </c>
      <c r="X68" s="27">
        <f t="shared" si="35"/>
        <v>-29730.290625000009</v>
      </c>
      <c r="Y68" s="27">
        <f t="shared" si="36"/>
        <v>29730.290625000009</v>
      </c>
    </row>
    <row r="69" spans="1:25">
      <c r="B69" s="22">
        <v>0.15</v>
      </c>
      <c r="C69" s="23">
        <f>B69/$D$15*$D$13</f>
        <v>6.4285714285714288</v>
      </c>
      <c r="D69" s="29">
        <f t="shared" si="37"/>
        <v>2.0215633423180595E-2</v>
      </c>
      <c r="E69" s="36">
        <f t="shared" si="24"/>
        <v>-4.6666666666666666E-4</v>
      </c>
      <c r="F69" s="17">
        <f t="shared" si="38"/>
        <v>0.1454</v>
      </c>
      <c r="G69" s="25">
        <f t="shared" si="39"/>
        <v>4.0000000000000001E-3</v>
      </c>
      <c r="H69" s="25">
        <f t="shared" si="40"/>
        <v>4.1099999999999998E-2</v>
      </c>
      <c r="I69" s="25">
        <f t="shared" si="41"/>
        <v>0.1013</v>
      </c>
      <c r="J69" s="16">
        <f t="shared" si="25"/>
        <v>0.1384</v>
      </c>
      <c r="K69" s="26">
        <f t="shared" si="26"/>
        <v>80</v>
      </c>
      <c r="L69" s="26">
        <f t="shared" si="27"/>
        <v>80</v>
      </c>
      <c r="M69" s="26">
        <f t="shared" si="28"/>
        <v>80</v>
      </c>
      <c r="N69" s="26">
        <f t="shared" si="29"/>
        <v>80</v>
      </c>
      <c r="O69" s="27">
        <f t="shared" si="42"/>
        <v>2030.3999999999999</v>
      </c>
      <c r="P69" s="27">
        <f t="shared" si="43"/>
        <v>1857.6</v>
      </c>
      <c r="Q69" s="27">
        <f t="shared" si="44"/>
        <v>1857.6</v>
      </c>
      <c r="R69" s="27">
        <f t="shared" si="45"/>
        <v>2030.3999999999999</v>
      </c>
      <c r="S69" s="27">
        <f t="shared" si="30"/>
        <v>-3775.2750000000001</v>
      </c>
      <c r="T69" s="27">
        <f t="shared" si="31"/>
        <v>4000.7249999999999</v>
      </c>
      <c r="U69" s="27">
        <f t="shared" si="32"/>
        <v>-49314.529687500006</v>
      </c>
      <c r="V69" s="16">
        <f t="shared" si="33"/>
        <v>0.9</v>
      </c>
      <c r="W69" s="27">
        <f t="shared" si="34"/>
        <v>3600.6525000000001</v>
      </c>
      <c r="X69" s="27">
        <f t="shared" si="35"/>
        <v>-44383.07671875001</v>
      </c>
      <c r="Y69" s="27">
        <f t="shared" si="36"/>
        <v>44383.07671875001</v>
      </c>
    </row>
    <row r="70" spans="1:25">
      <c r="B70" s="22">
        <v>0.2</v>
      </c>
      <c r="C70" s="23">
        <f>B70/$D$15*$D$13</f>
        <v>8.571428571428573</v>
      </c>
      <c r="D70" s="29">
        <f t="shared" si="37"/>
        <v>2.6954177897574129E-2</v>
      </c>
      <c r="E70" s="36">
        <f t="shared" si="24"/>
        <v>-3.4999999999999994E-4</v>
      </c>
      <c r="F70" s="17">
        <f t="shared" si="38"/>
        <v>0.10829999999999999</v>
      </c>
      <c r="G70" s="25">
        <f t="shared" si="39"/>
        <v>2.249999999999999E-3</v>
      </c>
      <c r="H70" s="25">
        <f t="shared" si="40"/>
        <v>3.0074999999999994E-2</v>
      </c>
      <c r="I70" s="25">
        <f t="shared" si="41"/>
        <v>7.5224999999999986E-2</v>
      </c>
      <c r="J70" s="16">
        <f t="shared" si="25"/>
        <v>0.10304999999999999</v>
      </c>
      <c r="K70" s="26">
        <f t="shared" si="26"/>
        <v>65.249999999999972</v>
      </c>
      <c r="L70" s="26">
        <f t="shared" si="27"/>
        <v>80</v>
      </c>
      <c r="M70" s="26">
        <f t="shared" si="28"/>
        <v>80</v>
      </c>
      <c r="N70" s="26">
        <f t="shared" si="29"/>
        <v>80</v>
      </c>
      <c r="O70" s="27">
        <f t="shared" si="42"/>
        <v>1656.0449999999992</v>
      </c>
      <c r="P70" s="27">
        <f t="shared" si="43"/>
        <v>1857.6</v>
      </c>
      <c r="Q70" s="27">
        <f t="shared" si="44"/>
        <v>1857.6</v>
      </c>
      <c r="R70" s="27">
        <f t="shared" si="45"/>
        <v>2030.3999999999999</v>
      </c>
      <c r="S70" s="27">
        <f t="shared" si="30"/>
        <v>-5033.7000000000007</v>
      </c>
      <c r="T70" s="27">
        <f t="shared" si="31"/>
        <v>2367.9449999999979</v>
      </c>
      <c r="U70" s="27">
        <f t="shared" si="32"/>
        <v>-69930.360000000015</v>
      </c>
      <c r="V70" s="16">
        <f t="shared" si="33"/>
        <v>0.9</v>
      </c>
      <c r="W70" s="27">
        <f t="shared" si="34"/>
        <v>2131.1504999999984</v>
      </c>
      <c r="X70" s="27">
        <f t="shared" si="35"/>
        <v>-62937.324000000015</v>
      </c>
      <c r="Y70" s="27">
        <f t="shared" si="36"/>
        <v>62937.324000000015</v>
      </c>
    </row>
    <row r="71" spans="1:25">
      <c r="B71" s="22">
        <v>0.25</v>
      </c>
      <c r="C71" s="23">
        <f>B71/$D$15*$D$13</f>
        <v>10.714285714285715</v>
      </c>
      <c r="D71" s="29">
        <f t="shared" si="37"/>
        <v>3.3692722371967659E-2</v>
      </c>
      <c r="E71" s="36">
        <f t="shared" si="24"/>
        <v>-2.7999999999999998E-4</v>
      </c>
      <c r="F71" s="17">
        <f t="shared" si="38"/>
        <v>8.6039999999999991E-2</v>
      </c>
      <c r="G71" s="25">
        <f t="shared" si="39"/>
        <v>1.1999999999999997E-3</v>
      </c>
      <c r="H71" s="25">
        <f t="shared" si="40"/>
        <v>2.3459999999999995E-2</v>
      </c>
      <c r="I71" s="25">
        <f t="shared" si="41"/>
        <v>5.9579999999999994E-2</v>
      </c>
      <c r="J71" s="16">
        <f t="shared" si="25"/>
        <v>8.1839999999999996E-2</v>
      </c>
      <c r="K71" s="26">
        <f t="shared" si="26"/>
        <v>34.79999999999999</v>
      </c>
      <c r="L71" s="26">
        <f t="shared" si="27"/>
        <v>80</v>
      </c>
      <c r="M71" s="26">
        <f t="shared" si="28"/>
        <v>80</v>
      </c>
      <c r="N71" s="26">
        <f t="shared" si="29"/>
        <v>80</v>
      </c>
      <c r="O71" s="27">
        <f t="shared" si="42"/>
        <v>883.22399999999971</v>
      </c>
      <c r="P71" s="27">
        <f t="shared" si="43"/>
        <v>1857.6</v>
      </c>
      <c r="Q71" s="27">
        <f t="shared" si="44"/>
        <v>1857.6</v>
      </c>
      <c r="R71" s="27">
        <f t="shared" si="45"/>
        <v>2030.3999999999999</v>
      </c>
      <c r="S71" s="27">
        <f t="shared" si="30"/>
        <v>-6292.125</v>
      </c>
      <c r="T71" s="27">
        <f t="shared" si="31"/>
        <v>336.6989999999987</v>
      </c>
      <c r="U71" s="27">
        <f t="shared" si="32"/>
        <v>-95170.479187500008</v>
      </c>
      <c r="V71" s="16">
        <f t="shared" si="33"/>
        <v>0.9</v>
      </c>
      <c r="W71" s="27">
        <f t="shared" si="34"/>
        <v>303.02909999999883</v>
      </c>
      <c r="X71" s="27">
        <f t="shared" si="35"/>
        <v>-85653.431268750006</v>
      </c>
      <c r="Y71" s="27">
        <f t="shared" si="36"/>
        <v>85653.431268750006</v>
      </c>
    </row>
    <row r="72" spans="1:25">
      <c r="B72" s="22">
        <v>0.3</v>
      </c>
      <c r="C72" s="23">
        <f t="shared" ref="C72:C84" si="46">B72/$D$15*$D$13</f>
        <v>12.857142857142858</v>
      </c>
      <c r="D72" s="29">
        <f t="shared" si="37"/>
        <v>4.043126684636119E-2</v>
      </c>
      <c r="E72" s="36">
        <f t="shared" si="24"/>
        <v>-2.3333333333333333E-4</v>
      </c>
      <c r="F72" s="17">
        <f t="shared" si="38"/>
        <v>7.1199999999999999E-2</v>
      </c>
      <c r="G72" s="25">
        <f t="shared" si="39"/>
        <v>4.999999999999999E-4</v>
      </c>
      <c r="H72" s="25">
        <f t="shared" si="40"/>
        <v>1.9049999999999997E-2</v>
      </c>
      <c r="I72" s="25">
        <f t="shared" si="41"/>
        <v>4.9149999999999999E-2</v>
      </c>
      <c r="J72" s="16">
        <f t="shared" si="25"/>
        <v>6.770000000000001E-2</v>
      </c>
      <c r="K72" s="26">
        <f t="shared" si="26"/>
        <v>14.499999999999996</v>
      </c>
      <c r="L72" s="26">
        <f t="shared" si="27"/>
        <v>80</v>
      </c>
      <c r="M72" s="26">
        <f t="shared" si="28"/>
        <v>80</v>
      </c>
      <c r="N72" s="26">
        <f t="shared" si="29"/>
        <v>80</v>
      </c>
      <c r="O72" s="27">
        <f t="shared" si="42"/>
        <v>368.00999999999988</v>
      </c>
      <c r="P72" s="27">
        <f t="shared" si="43"/>
        <v>1857.6</v>
      </c>
      <c r="Q72" s="27">
        <f t="shared" si="44"/>
        <v>1857.6</v>
      </c>
      <c r="R72" s="27">
        <f t="shared" si="45"/>
        <v>2030.3999999999999</v>
      </c>
      <c r="S72" s="27">
        <f t="shared" si="30"/>
        <v>-7550.55</v>
      </c>
      <c r="T72" s="27">
        <f t="shared" si="31"/>
        <v>-1436.9400000000005</v>
      </c>
      <c r="U72" s="27">
        <f t="shared" si="32"/>
        <v>-117162.01125000003</v>
      </c>
      <c r="V72" s="16">
        <f t="shared" si="33"/>
        <v>0.9</v>
      </c>
      <c r="W72" s="27">
        <f t="shared" si="34"/>
        <v>-1293.2460000000005</v>
      </c>
      <c r="X72" s="27">
        <f t="shared" si="35"/>
        <v>-105445.81012500002</v>
      </c>
      <c r="Y72" s="27">
        <f t="shared" si="36"/>
        <v>105445.81012500002</v>
      </c>
    </row>
    <row r="73" spans="1:25">
      <c r="B73" s="22">
        <v>0.35</v>
      </c>
      <c r="C73" s="23">
        <f t="shared" si="46"/>
        <v>15</v>
      </c>
      <c r="D73" s="29">
        <f t="shared" si="37"/>
        <v>4.716981132075472E-2</v>
      </c>
      <c r="E73" s="36">
        <f t="shared" si="24"/>
        <v>-2.0000000000000001E-4</v>
      </c>
      <c r="F73" s="17">
        <f t="shared" si="38"/>
        <v>6.0600000000000001E-2</v>
      </c>
      <c r="G73" s="25">
        <f t="shared" si="39"/>
        <v>0</v>
      </c>
      <c r="H73" s="25">
        <f t="shared" si="40"/>
        <v>1.5900000000000001E-2</v>
      </c>
      <c r="I73" s="25">
        <f t="shared" si="41"/>
        <v>4.1700000000000001E-2</v>
      </c>
      <c r="J73" s="16">
        <f t="shared" si="25"/>
        <v>5.7600000000000005E-2</v>
      </c>
      <c r="K73" s="26">
        <f t="shared" si="26"/>
        <v>0</v>
      </c>
      <c r="L73" s="26">
        <f t="shared" si="27"/>
        <v>80</v>
      </c>
      <c r="M73" s="26">
        <f t="shared" si="28"/>
        <v>80</v>
      </c>
      <c r="N73" s="26">
        <f t="shared" si="29"/>
        <v>80</v>
      </c>
      <c r="O73" s="27">
        <f t="shared" si="42"/>
        <v>0</v>
      </c>
      <c r="P73" s="27">
        <f t="shared" si="43"/>
        <v>1857.6</v>
      </c>
      <c r="Q73" s="27">
        <f t="shared" si="44"/>
        <v>1857.6</v>
      </c>
      <c r="R73" s="27">
        <f t="shared" si="45"/>
        <v>2030.3999999999999</v>
      </c>
      <c r="S73" s="27">
        <f t="shared" si="30"/>
        <v>-8808.9750000000004</v>
      </c>
      <c r="T73" s="27">
        <f t="shared" si="31"/>
        <v>-3063.3750000000009</v>
      </c>
      <c r="U73" s="27">
        <f t="shared" si="32"/>
        <v>-137229.79218750002</v>
      </c>
      <c r="V73" s="16">
        <f t="shared" si="33"/>
        <v>0.9</v>
      </c>
      <c r="W73" s="27">
        <f t="shared" si="34"/>
        <v>-2757.0375000000008</v>
      </c>
      <c r="X73" s="27">
        <f t="shared" si="35"/>
        <v>-123506.81296875002</v>
      </c>
      <c r="Y73" s="27">
        <f t="shared" si="36"/>
        <v>123506.81296875002</v>
      </c>
    </row>
    <row r="74" spans="1:25">
      <c r="B74" s="22">
        <v>0.4</v>
      </c>
      <c r="C74" s="23">
        <f t="shared" si="46"/>
        <v>17.142857142857146</v>
      </c>
      <c r="D74" s="29">
        <f t="shared" si="37"/>
        <v>5.3908355795148258E-2</v>
      </c>
      <c r="E74" s="36">
        <f t="shared" si="24"/>
        <v>-1.7499999999999997E-4</v>
      </c>
      <c r="F74" s="17">
        <f t="shared" si="38"/>
        <v>5.2649999999999988E-2</v>
      </c>
      <c r="G74" s="25">
        <f t="shared" si="39"/>
        <v>-3.750000000000005E-4</v>
      </c>
      <c r="H74" s="25">
        <f t="shared" si="40"/>
        <v>1.3537499999999999E-2</v>
      </c>
      <c r="I74" s="25">
        <f t="shared" si="41"/>
        <v>3.6112499999999992E-2</v>
      </c>
      <c r="J74" s="16">
        <f t="shared" si="25"/>
        <v>5.0024999999999986E-2</v>
      </c>
      <c r="K74" s="26">
        <f t="shared" si="26"/>
        <v>-10.875000000000014</v>
      </c>
      <c r="L74" s="26">
        <f t="shared" si="27"/>
        <v>80</v>
      </c>
      <c r="M74" s="26">
        <f t="shared" si="28"/>
        <v>80</v>
      </c>
      <c r="N74" s="26">
        <f t="shared" si="29"/>
        <v>80</v>
      </c>
      <c r="O74" s="27">
        <f t="shared" si="42"/>
        <v>-276.00750000000033</v>
      </c>
      <c r="P74" s="27">
        <f t="shared" si="43"/>
        <v>1857.6</v>
      </c>
      <c r="Q74" s="27">
        <f t="shared" si="44"/>
        <v>1857.6</v>
      </c>
      <c r="R74" s="27">
        <f t="shared" si="45"/>
        <v>2030.3999999999999</v>
      </c>
      <c r="S74" s="27">
        <f t="shared" si="30"/>
        <v>-10067.400000000001</v>
      </c>
      <c r="T74" s="27">
        <f t="shared" si="31"/>
        <v>-4597.8075000000026</v>
      </c>
      <c r="U74" s="27">
        <f t="shared" si="32"/>
        <v>-156036.24000000002</v>
      </c>
      <c r="V74" s="16">
        <f t="shared" si="33"/>
        <v>0.9</v>
      </c>
      <c r="W74" s="27">
        <f t="shared" si="34"/>
        <v>-4138.0267500000027</v>
      </c>
      <c r="X74" s="27">
        <f t="shared" si="35"/>
        <v>-140432.61600000001</v>
      </c>
      <c r="Y74" s="27">
        <f t="shared" si="36"/>
        <v>140432.61600000001</v>
      </c>
    </row>
    <row r="75" spans="1:25">
      <c r="B75" s="22">
        <v>0.45</v>
      </c>
      <c r="C75" s="23">
        <f t="shared" si="46"/>
        <v>19.285714285714288</v>
      </c>
      <c r="D75" s="29">
        <f t="shared" si="37"/>
        <v>6.0646900269541788E-2</v>
      </c>
      <c r="E75" s="36">
        <f t="shared" si="24"/>
        <v>-1.5555555555555554E-4</v>
      </c>
      <c r="F75" s="17">
        <f t="shared" si="38"/>
        <v>4.6466666666666663E-2</v>
      </c>
      <c r="G75" s="25">
        <f t="shared" si="39"/>
        <v>-6.6666666666666697E-4</v>
      </c>
      <c r="H75" s="25">
        <f t="shared" si="40"/>
        <v>1.1699999999999997E-2</v>
      </c>
      <c r="I75" s="25">
        <f t="shared" si="41"/>
        <v>3.1766666666666665E-2</v>
      </c>
      <c r="J75" s="16">
        <f t="shared" si="25"/>
        <v>4.413333333333333E-2</v>
      </c>
      <c r="K75" s="26">
        <f t="shared" si="26"/>
        <v>-19.333333333333343</v>
      </c>
      <c r="L75" s="26">
        <f t="shared" si="27"/>
        <v>80</v>
      </c>
      <c r="M75" s="26">
        <f t="shared" si="28"/>
        <v>80</v>
      </c>
      <c r="N75" s="26">
        <f t="shared" si="29"/>
        <v>80</v>
      </c>
      <c r="O75" s="27">
        <f t="shared" si="42"/>
        <v>-490.68000000000023</v>
      </c>
      <c r="P75" s="27">
        <f t="shared" si="43"/>
        <v>1857.6</v>
      </c>
      <c r="Q75" s="27">
        <f t="shared" si="44"/>
        <v>1857.6</v>
      </c>
      <c r="R75" s="27">
        <f t="shared" si="45"/>
        <v>2030.3999999999999</v>
      </c>
      <c r="S75" s="27">
        <f t="shared" si="30"/>
        <v>-11325.825000000003</v>
      </c>
      <c r="T75" s="27">
        <f t="shared" si="31"/>
        <v>-6070.9050000000034</v>
      </c>
      <c r="U75" s="27">
        <f t="shared" si="32"/>
        <v>-173949.36468750003</v>
      </c>
      <c r="V75" s="16">
        <f t="shared" si="33"/>
        <v>0.9</v>
      </c>
      <c r="W75" s="27">
        <f t="shared" si="34"/>
        <v>-5463.8145000000031</v>
      </c>
      <c r="X75" s="27">
        <f t="shared" si="35"/>
        <v>-156554.42821875002</v>
      </c>
      <c r="Y75" s="27">
        <f t="shared" si="36"/>
        <v>156554.42821875002</v>
      </c>
    </row>
    <row r="76" spans="1:25">
      <c r="B76" s="22">
        <v>0.5</v>
      </c>
      <c r="C76" s="23">
        <f t="shared" si="46"/>
        <v>21.428571428571431</v>
      </c>
      <c r="D76" s="29">
        <f t="shared" si="37"/>
        <v>6.7385444743935319E-2</v>
      </c>
      <c r="E76" s="36">
        <f t="shared" si="24"/>
        <v>-1.3999999999999999E-4</v>
      </c>
      <c r="F76" s="17">
        <f t="shared" si="38"/>
        <v>4.1519999999999994E-2</v>
      </c>
      <c r="G76" s="25">
        <f t="shared" si="39"/>
        <v>-9.0000000000000019E-4</v>
      </c>
      <c r="H76" s="25">
        <f t="shared" si="40"/>
        <v>1.023E-2</v>
      </c>
      <c r="I76" s="25">
        <f t="shared" si="41"/>
        <v>2.8289999999999996E-2</v>
      </c>
      <c r="J76" s="16">
        <f t="shared" si="25"/>
        <v>3.9419999999999997E-2</v>
      </c>
      <c r="K76" s="26">
        <f t="shared" si="26"/>
        <v>-26.100000000000005</v>
      </c>
      <c r="L76" s="26">
        <f t="shared" si="27"/>
        <v>80</v>
      </c>
      <c r="M76" s="26">
        <f t="shared" si="28"/>
        <v>80</v>
      </c>
      <c r="N76" s="26">
        <f t="shared" si="29"/>
        <v>80</v>
      </c>
      <c r="O76" s="27">
        <f t="shared" si="42"/>
        <v>-662.41800000000012</v>
      </c>
      <c r="P76" s="27">
        <f t="shared" si="43"/>
        <v>1857.6</v>
      </c>
      <c r="Q76" s="27">
        <f t="shared" si="44"/>
        <v>1857.6</v>
      </c>
      <c r="R76" s="27">
        <f t="shared" si="45"/>
        <v>2030.3999999999999</v>
      </c>
      <c r="S76" s="27">
        <f t="shared" si="30"/>
        <v>-12584.25</v>
      </c>
      <c r="T76" s="27">
        <f t="shared" si="31"/>
        <v>-7501.0680000000002</v>
      </c>
      <c r="U76" s="27">
        <f t="shared" si="32"/>
        <v>-191189.97224999999</v>
      </c>
      <c r="V76" s="16">
        <f t="shared" si="33"/>
        <v>0.9</v>
      </c>
      <c r="W76" s="27">
        <f t="shared" si="34"/>
        <v>-6750.9612000000006</v>
      </c>
      <c r="X76" s="27">
        <f t="shared" si="35"/>
        <v>-172070.97502499999</v>
      </c>
      <c r="Y76" s="27">
        <f t="shared" si="36"/>
        <v>172070.97502499999</v>
      </c>
    </row>
    <row r="77" spans="1:25">
      <c r="B77" s="22">
        <v>0.55000000000000004</v>
      </c>
      <c r="C77" s="23">
        <f t="shared" si="46"/>
        <v>23.571428571428573</v>
      </c>
      <c r="D77" s="29">
        <f t="shared" si="37"/>
        <v>7.4123989218328842E-2</v>
      </c>
      <c r="E77" s="36">
        <f t="shared" si="24"/>
        <v>-1.2727272727272725E-4</v>
      </c>
      <c r="F77" s="17">
        <f t="shared" si="38"/>
        <v>3.7472727272727269E-2</v>
      </c>
      <c r="G77" s="25">
        <f t="shared" si="39"/>
        <v>-1.090909090909091E-3</v>
      </c>
      <c r="H77" s="25">
        <f t="shared" si="40"/>
        <v>9.0272727272727258E-3</v>
      </c>
      <c r="I77" s="25">
        <f t="shared" si="41"/>
        <v>2.5445454545454538E-2</v>
      </c>
      <c r="J77" s="16">
        <f t="shared" si="25"/>
        <v>3.556363636363636E-2</v>
      </c>
      <c r="K77" s="26">
        <f t="shared" si="26"/>
        <v>-31.636363636363637</v>
      </c>
      <c r="L77" s="26">
        <f t="shared" si="27"/>
        <v>80</v>
      </c>
      <c r="M77" s="26">
        <f t="shared" si="28"/>
        <v>80</v>
      </c>
      <c r="N77" s="26">
        <f t="shared" si="29"/>
        <v>80</v>
      </c>
      <c r="O77" s="27">
        <f t="shared" si="42"/>
        <v>-802.93090909090904</v>
      </c>
      <c r="P77" s="27">
        <f t="shared" si="43"/>
        <v>1857.6</v>
      </c>
      <c r="Q77" s="27">
        <f t="shared" si="44"/>
        <v>1857.6</v>
      </c>
      <c r="R77" s="27">
        <f t="shared" si="45"/>
        <v>2030.3999999999999</v>
      </c>
      <c r="S77" s="27">
        <f t="shared" si="30"/>
        <v>-13842.675000000001</v>
      </c>
      <c r="T77" s="27">
        <f t="shared" si="31"/>
        <v>-8900.0059090909108</v>
      </c>
      <c r="U77" s="27">
        <f t="shared" si="32"/>
        <v>-207898.5755965909</v>
      </c>
      <c r="V77" s="16">
        <f t="shared" si="33"/>
        <v>0.9</v>
      </c>
      <c r="W77" s="27">
        <f t="shared" si="34"/>
        <v>-8010.0053181818203</v>
      </c>
      <c r="X77" s="27">
        <f t="shared" si="35"/>
        <v>-187108.71803693182</v>
      </c>
      <c r="Y77" s="27">
        <f t="shared" si="36"/>
        <v>187108.71803693182</v>
      </c>
    </row>
    <row r="78" spans="1:25">
      <c r="B78" s="22">
        <v>0.6</v>
      </c>
      <c r="C78" s="23">
        <f t="shared" si="46"/>
        <v>25.714285714285715</v>
      </c>
      <c r="D78" s="29">
        <f t="shared" si="37"/>
        <v>8.086253369272238E-2</v>
      </c>
      <c r="E78" s="36">
        <f t="shared" si="24"/>
        <v>-1.1666666666666667E-4</v>
      </c>
      <c r="F78" s="17">
        <f t="shared" si="38"/>
        <v>3.4099999999999998E-2</v>
      </c>
      <c r="G78" s="25">
        <f t="shared" si="39"/>
        <v>-1.25E-3</v>
      </c>
      <c r="H78" s="25">
        <f t="shared" si="40"/>
        <v>8.0249999999999991E-3</v>
      </c>
      <c r="I78" s="25">
        <f t="shared" si="41"/>
        <v>2.3074999999999998E-2</v>
      </c>
      <c r="J78" s="16">
        <f t="shared" si="25"/>
        <v>3.2349999999999997E-2</v>
      </c>
      <c r="K78" s="26">
        <f t="shared" si="26"/>
        <v>-36.25</v>
      </c>
      <c r="L78" s="26">
        <f t="shared" si="27"/>
        <v>80</v>
      </c>
      <c r="M78" s="26">
        <f t="shared" si="28"/>
        <v>80</v>
      </c>
      <c r="N78" s="26">
        <f t="shared" si="29"/>
        <v>80</v>
      </c>
      <c r="O78" s="27">
        <f t="shared" si="42"/>
        <v>-920.02499999999998</v>
      </c>
      <c r="P78" s="27">
        <f t="shared" si="43"/>
        <v>1857.6</v>
      </c>
      <c r="Q78" s="27">
        <f t="shared" si="44"/>
        <v>1857.6</v>
      </c>
      <c r="R78" s="27">
        <f t="shared" si="45"/>
        <v>2030.3999999999999</v>
      </c>
      <c r="S78" s="27">
        <f t="shared" si="30"/>
        <v>-15101.1</v>
      </c>
      <c r="T78" s="27">
        <f t="shared" si="31"/>
        <v>-10275.525000000001</v>
      </c>
      <c r="U78" s="27">
        <f t="shared" si="32"/>
        <v>-224168.85</v>
      </c>
      <c r="V78" s="16">
        <f t="shared" si="33"/>
        <v>0.9</v>
      </c>
      <c r="W78" s="27">
        <f t="shared" si="34"/>
        <v>-9247.9725000000017</v>
      </c>
      <c r="X78" s="27">
        <f t="shared" si="35"/>
        <v>-201751.965</v>
      </c>
      <c r="Y78" s="27">
        <f t="shared" si="36"/>
        <v>201751.965</v>
      </c>
    </row>
    <row r="79" spans="1:25">
      <c r="B79" s="22">
        <v>0.65</v>
      </c>
      <c r="C79" s="23">
        <f t="shared" si="46"/>
        <v>27.857142857142861</v>
      </c>
      <c r="D79" s="29">
        <f t="shared" si="37"/>
        <v>8.7601078167115917E-2</v>
      </c>
      <c r="E79" s="36">
        <f t="shared" si="24"/>
        <v>-1.0769230769230768E-4</v>
      </c>
      <c r="F79" s="17">
        <f t="shared" si="38"/>
        <v>3.124615384615384E-2</v>
      </c>
      <c r="G79" s="25">
        <f t="shared" si="39"/>
        <v>-1.384615384615385E-3</v>
      </c>
      <c r="H79" s="25">
        <f t="shared" si="40"/>
        <v>7.1769230769230755E-3</v>
      </c>
      <c r="I79" s="25">
        <f t="shared" si="41"/>
        <v>2.1069230769230767E-2</v>
      </c>
      <c r="J79" s="16">
        <f t="shared" si="25"/>
        <v>2.9630769230769224E-2</v>
      </c>
      <c r="K79" s="26">
        <f t="shared" si="26"/>
        <v>-40.15384615384616</v>
      </c>
      <c r="L79" s="26">
        <f t="shared" si="27"/>
        <v>80</v>
      </c>
      <c r="M79" s="26">
        <f t="shared" si="28"/>
        <v>80</v>
      </c>
      <c r="N79" s="26">
        <f t="shared" si="29"/>
        <v>80</v>
      </c>
      <c r="O79" s="27">
        <f t="shared" si="42"/>
        <v>-1019.1046153846155</v>
      </c>
      <c r="P79" s="27">
        <f t="shared" si="43"/>
        <v>1857.6</v>
      </c>
      <c r="Q79" s="27">
        <f t="shared" si="44"/>
        <v>1857.6</v>
      </c>
      <c r="R79" s="27">
        <f t="shared" si="45"/>
        <v>2030.3999999999999</v>
      </c>
      <c r="S79" s="27">
        <f t="shared" si="30"/>
        <v>-16359.525</v>
      </c>
      <c r="T79" s="27">
        <f t="shared" si="31"/>
        <v>-11633.029615384616</v>
      </c>
      <c r="U79" s="27">
        <f t="shared" si="32"/>
        <v>-240065.64757211538</v>
      </c>
      <c r="V79" s="16">
        <f t="shared" si="33"/>
        <v>0.9</v>
      </c>
      <c r="W79" s="27">
        <f t="shared" si="34"/>
        <v>-10469.726653846154</v>
      </c>
      <c r="X79" s="27">
        <f t="shared" si="35"/>
        <v>-216059.08281490384</v>
      </c>
      <c r="Y79" s="27">
        <f t="shared" si="36"/>
        <v>216059.08281490384</v>
      </c>
    </row>
    <row r="80" spans="1:25">
      <c r="B80" s="22">
        <v>0.7</v>
      </c>
      <c r="C80" s="23">
        <f t="shared" si="46"/>
        <v>30</v>
      </c>
      <c r="D80" s="29">
        <f t="shared" si="37"/>
        <v>9.4339622641509441E-2</v>
      </c>
      <c r="E80" s="36">
        <f t="shared" si="24"/>
        <v>-1E-4</v>
      </c>
      <c r="F80" s="17">
        <f t="shared" si="38"/>
        <v>2.8800000000000003E-2</v>
      </c>
      <c r="G80" s="25">
        <f t="shared" si="39"/>
        <v>-1.5E-3</v>
      </c>
      <c r="H80" s="25">
        <f t="shared" si="40"/>
        <v>6.45E-3</v>
      </c>
      <c r="I80" s="25">
        <f t="shared" si="41"/>
        <v>1.9350000000000003E-2</v>
      </c>
      <c r="J80" s="16">
        <f t="shared" si="25"/>
        <v>2.7300000000000001E-2</v>
      </c>
      <c r="K80" s="26">
        <f t="shared" si="26"/>
        <v>-43.5</v>
      </c>
      <c r="L80" s="26">
        <f t="shared" si="27"/>
        <v>80</v>
      </c>
      <c r="M80" s="26">
        <f t="shared" si="28"/>
        <v>80</v>
      </c>
      <c r="N80" s="26">
        <f t="shared" si="29"/>
        <v>80</v>
      </c>
      <c r="O80" s="27">
        <f t="shared" si="42"/>
        <v>-1104.03</v>
      </c>
      <c r="P80" s="27">
        <f t="shared" si="43"/>
        <v>1857.6</v>
      </c>
      <c r="Q80" s="27">
        <f t="shared" si="44"/>
        <v>1857.6</v>
      </c>
      <c r="R80" s="27">
        <f t="shared" si="45"/>
        <v>2030.3999999999999</v>
      </c>
      <c r="S80" s="27">
        <f t="shared" si="30"/>
        <v>-17617.95</v>
      </c>
      <c r="T80" s="27">
        <f t="shared" si="31"/>
        <v>-12976.380000000001</v>
      </c>
      <c r="U80" s="27">
        <f t="shared" si="32"/>
        <v>-255635.29125000001</v>
      </c>
      <c r="V80" s="16">
        <f t="shared" si="33"/>
        <v>0.9</v>
      </c>
      <c r="W80" s="27">
        <f t="shared" si="34"/>
        <v>-11678.742000000002</v>
      </c>
      <c r="X80" s="27">
        <f t="shared" si="35"/>
        <v>-230071.76212500001</v>
      </c>
      <c r="Y80" s="27">
        <f t="shared" si="36"/>
        <v>230071.76212500001</v>
      </c>
    </row>
    <row r="81" spans="1:25">
      <c r="B81" s="22">
        <v>0.75</v>
      </c>
      <c r="C81" s="23">
        <f t="shared" si="46"/>
        <v>32.142857142857139</v>
      </c>
      <c r="D81" s="29">
        <f t="shared" si="37"/>
        <v>0.10107816711590295</v>
      </c>
      <c r="E81" s="36">
        <f t="shared" si="24"/>
        <v>-9.3333333333333343E-5</v>
      </c>
      <c r="F81" s="17">
        <f t="shared" si="38"/>
        <v>2.6680000000000006E-2</v>
      </c>
      <c r="G81" s="25">
        <f t="shared" si="39"/>
        <v>-1.5999999999999999E-3</v>
      </c>
      <c r="H81" s="25">
        <f t="shared" si="40"/>
        <v>5.8200000000000014E-3</v>
      </c>
      <c r="I81" s="25">
        <f t="shared" si="41"/>
        <v>1.7860000000000001E-2</v>
      </c>
      <c r="J81" s="16">
        <f t="shared" si="25"/>
        <v>2.5280000000000007E-2</v>
      </c>
      <c r="K81" s="26">
        <f t="shared" si="26"/>
        <v>-46.4</v>
      </c>
      <c r="L81" s="26">
        <f t="shared" si="27"/>
        <v>80</v>
      </c>
      <c r="M81" s="26">
        <f t="shared" si="28"/>
        <v>80</v>
      </c>
      <c r="N81" s="26">
        <f t="shared" si="29"/>
        <v>80</v>
      </c>
      <c r="O81" s="27">
        <f t="shared" si="42"/>
        <v>-1177.6319999999998</v>
      </c>
      <c r="P81" s="27">
        <f t="shared" si="43"/>
        <v>1857.6</v>
      </c>
      <c r="Q81" s="27">
        <f t="shared" si="44"/>
        <v>1857.6</v>
      </c>
      <c r="R81" s="27">
        <f t="shared" si="45"/>
        <v>2030.3999999999999</v>
      </c>
      <c r="S81" s="27">
        <f t="shared" si="30"/>
        <v>-18876.374999999996</v>
      </c>
      <c r="T81" s="27">
        <f t="shared" si="31"/>
        <v>-14308.406999999996</v>
      </c>
      <c r="U81" s="27">
        <f t="shared" si="32"/>
        <v>-270911.75118749996</v>
      </c>
      <c r="V81" s="16">
        <f t="shared" si="33"/>
        <v>0.9</v>
      </c>
      <c r="W81" s="27">
        <f t="shared" si="34"/>
        <v>-12877.566299999997</v>
      </c>
      <c r="X81" s="27">
        <f t="shared" si="35"/>
        <v>-243820.57606874997</v>
      </c>
      <c r="Y81" s="27">
        <f t="shared" si="36"/>
        <v>243820.57606874997</v>
      </c>
    </row>
    <row r="82" spans="1:25">
      <c r="B82" s="22">
        <v>0.8</v>
      </c>
      <c r="C82" s="23">
        <f t="shared" si="46"/>
        <v>34.285714285714292</v>
      </c>
      <c r="D82" s="29">
        <f t="shared" si="37"/>
        <v>0.10781671159029652</v>
      </c>
      <c r="E82" s="36">
        <f t="shared" si="24"/>
        <v>-8.7499999999999986E-5</v>
      </c>
      <c r="F82" s="17">
        <f t="shared" si="38"/>
        <v>2.4824999999999996E-2</v>
      </c>
      <c r="G82" s="25">
        <f t="shared" si="39"/>
        <v>-1.6875000000000002E-3</v>
      </c>
      <c r="H82" s="25">
        <f t="shared" si="40"/>
        <v>5.2687499999999983E-3</v>
      </c>
      <c r="I82" s="25">
        <f t="shared" si="41"/>
        <v>1.6556249999999998E-2</v>
      </c>
      <c r="J82" s="16">
        <f t="shared" si="25"/>
        <v>2.3512499999999995E-2</v>
      </c>
      <c r="K82" s="26">
        <f t="shared" si="26"/>
        <v>-48.937500000000007</v>
      </c>
      <c r="L82" s="26">
        <f t="shared" si="27"/>
        <v>80</v>
      </c>
      <c r="M82" s="26">
        <f t="shared" si="28"/>
        <v>80</v>
      </c>
      <c r="N82" s="26">
        <f t="shared" si="29"/>
        <v>80</v>
      </c>
      <c r="O82" s="27">
        <f t="shared" si="42"/>
        <v>-1242.0337500000001</v>
      </c>
      <c r="P82" s="27">
        <f t="shared" si="43"/>
        <v>1857.6</v>
      </c>
      <c r="Q82" s="27">
        <f t="shared" si="44"/>
        <v>1857.6</v>
      </c>
      <c r="R82" s="27">
        <f t="shared" si="45"/>
        <v>2030.3999999999999</v>
      </c>
      <c r="S82" s="27">
        <f t="shared" si="30"/>
        <v>-20134.800000000003</v>
      </c>
      <c r="T82" s="27">
        <f t="shared" si="31"/>
        <v>-15631.233750000003</v>
      </c>
      <c r="U82" s="27">
        <f t="shared" si="32"/>
        <v>-285920.50500000006</v>
      </c>
      <c r="V82" s="16">
        <f t="shared" si="33"/>
        <v>0.9</v>
      </c>
      <c r="W82" s="27">
        <f t="shared" si="34"/>
        <v>-14068.110375000004</v>
      </c>
      <c r="X82" s="27">
        <f t="shared" si="35"/>
        <v>-257328.45450000005</v>
      </c>
      <c r="Y82" s="27">
        <f t="shared" si="36"/>
        <v>257328.45450000005</v>
      </c>
    </row>
    <row r="83" spans="1:25">
      <c r="B83" s="22">
        <v>0.85</v>
      </c>
      <c r="C83" s="23">
        <f t="shared" si="46"/>
        <v>36.428571428571431</v>
      </c>
      <c r="D83" s="29">
        <f t="shared" si="37"/>
        <v>0.11455525606469004</v>
      </c>
      <c r="E83" s="36">
        <f t="shared" si="24"/>
        <v>-8.2352941176470581E-5</v>
      </c>
      <c r="F83" s="17">
        <f t="shared" si="38"/>
        <v>2.3188235294117645E-2</v>
      </c>
      <c r="G83" s="25">
        <f t="shared" si="39"/>
        <v>-1.7647058823529412E-3</v>
      </c>
      <c r="H83" s="25">
        <f t="shared" si="40"/>
        <v>4.7823529411764702E-3</v>
      </c>
      <c r="I83" s="25">
        <f t="shared" si="41"/>
        <v>1.5405882352941174E-2</v>
      </c>
      <c r="J83" s="16">
        <f t="shared" si="25"/>
        <v>2.1952941176470585E-2</v>
      </c>
      <c r="K83" s="26">
        <f t="shared" si="26"/>
        <v>-51.176470588235297</v>
      </c>
      <c r="L83" s="26">
        <f t="shared" si="27"/>
        <v>80</v>
      </c>
      <c r="M83" s="26">
        <f t="shared" si="28"/>
        <v>80</v>
      </c>
      <c r="N83" s="26">
        <f t="shared" si="29"/>
        <v>80</v>
      </c>
      <c r="O83" s="27">
        <f t="shared" si="42"/>
        <v>-1298.8588235294119</v>
      </c>
      <c r="P83" s="27">
        <f t="shared" si="43"/>
        <v>1857.6</v>
      </c>
      <c r="Q83" s="27">
        <f t="shared" si="44"/>
        <v>1857.6</v>
      </c>
      <c r="R83" s="27">
        <f t="shared" si="45"/>
        <v>2030.3999999999999</v>
      </c>
      <c r="S83" s="27">
        <f t="shared" si="30"/>
        <v>-21393.225000000002</v>
      </c>
      <c r="T83" s="27">
        <f t="shared" si="31"/>
        <v>-16946.483823529416</v>
      </c>
      <c r="U83" s="27">
        <f t="shared" si="32"/>
        <v>-300681.03556985297</v>
      </c>
      <c r="V83" s="16">
        <f t="shared" si="33"/>
        <v>0.9</v>
      </c>
      <c r="W83" s="27">
        <f t="shared" si="34"/>
        <v>-15251.835441176474</v>
      </c>
      <c r="X83" s="27">
        <f t="shared" si="35"/>
        <v>-270612.93201286771</v>
      </c>
      <c r="Y83" s="27">
        <f t="shared" si="36"/>
        <v>270612.93201286771</v>
      </c>
    </row>
    <row r="84" spans="1:25">
      <c r="B84" s="22">
        <v>0.9</v>
      </c>
      <c r="C84" s="23">
        <f t="shared" si="46"/>
        <v>38.571428571428577</v>
      </c>
      <c r="D84" s="29">
        <f t="shared" si="37"/>
        <v>0.12129380053908358</v>
      </c>
      <c r="E84" s="36">
        <f t="shared" si="24"/>
        <v>-7.7777777777777768E-5</v>
      </c>
      <c r="F84" s="17">
        <f t="shared" si="38"/>
        <v>2.173333333333333E-2</v>
      </c>
      <c r="G84" s="25">
        <f t="shared" si="39"/>
        <v>-1.8333333333333335E-3</v>
      </c>
      <c r="H84" s="25">
        <f t="shared" si="40"/>
        <v>4.3499999999999988E-3</v>
      </c>
      <c r="I84" s="25">
        <f t="shared" si="41"/>
        <v>1.4383333333333331E-2</v>
      </c>
      <c r="J84" s="16">
        <f t="shared" si="25"/>
        <v>2.0566666666666664E-2</v>
      </c>
      <c r="K84" s="26">
        <f t="shared" si="26"/>
        <v>-53.166666666666671</v>
      </c>
      <c r="L84" s="26">
        <f t="shared" si="27"/>
        <v>80</v>
      </c>
      <c r="M84" s="26">
        <f t="shared" si="28"/>
        <v>80</v>
      </c>
      <c r="N84" s="26">
        <f t="shared" si="29"/>
        <v>80</v>
      </c>
      <c r="O84" s="27">
        <f t="shared" si="42"/>
        <v>-1349.3700000000001</v>
      </c>
      <c r="P84" s="27">
        <f t="shared" si="43"/>
        <v>1857.6</v>
      </c>
      <c r="Q84" s="27">
        <f t="shared" si="44"/>
        <v>1857.6</v>
      </c>
      <c r="R84" s="27">
        <f t="shared" si="45"/>
        <v>2030.3999999999999</v>
      </c>
      <c r="S84" s="27">
        <f t="shared" si="30"/>
        <v>-22651.650000000005</v>
      </c>
      <c r="T84" s="27">
        <f t="shared" si="31"/>
        <v>-18255.420000000006</v>
      </c>
      <c r="U84" s="27">
        <f t="shared" si="32"/>
        <v>-315208.49625000003</v>
      </c>
      <c r="V84" s="16">
        <f t="shared" si="33"/>
        <v>0.9</v>
      </c>
      <c r="W84" s="27">
        <f t="shared" si="34"/>
        <v>-16429.878000000004</v>
      </c>
      <c r="X84" s="27">
        <f t="shared" si="35"/>
        <v>-283687.64662500005</v>
      </c>
      <c r="Y84" s="27">
        <f t="shared" si="36"/>
        <v>283687.64662500005</v>
      </c>
    </row>
    <row r="85" spans="1:25">
      <c r="B85" s="22"/>
      <c r="C85" s="23"/>
      <c r="D85" s="29"/>
      <c r="E85" s="24"/>
      <c r="F85" s="17"/>
      <c r="G85" s="25"/>
      <c r="H85" s="25"/>
      <c r="I85" s="25"/>
      <c r="J85" s="25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16"/>
      <c r="W85" s="27"/>
      <c r="X85" s="27"/>
    </row>
    <row r="86" spans="1:25">
      <c r="B86" s="11" t="s">
        <v>7</v>
      </c>
      <c r="D86" s="33">
        <v>8.0000000000000002E-3</v>
      </c>
    </row>
    <row r="87" spans="1:25">
      <c r="B87" s="9" t="s">
        <v>8</v>
      </c>
      <c r="C87" s="9" t="s">
        <v>15</v>
      </c>
      <c r="D87" s="26">
        <f>D86*(D10*D12)</f>
        <v>33.840000000000003</v>
      </c>
    </row>
    <row r="88" spans="1:25">
      <c r="B88" s="9" t="s">
        <v>9</v>
      </c>
      <c r="C88" s="9" t="s">
        <v>15</v>
      </c>
      <c r="D88" s="26">
        <f>D86*(D11-(2*D12))/2*D13</f>
        <v>30.96</v>
      </c>
    </row>
    <row r="89" spans="1:25">
      <c r="B89" s="9" t="s">
        <v>10</v>
      </c>
      <c r="C89" s="9" t="s">
        <v>15</v>
      </c>
      <c r="D89" s="26">
        <f>D88</f>
        <v>30.96</v>
      </c>
    </row>
    <row r="90" spans="1:25">
      <c r="B90" s="9" t="s">
        <v>59</v>
      </c>
      <c r="C90" s="9" t="s">
        <v>15</v>
      </c>
      <c r="D90" s="26">
        <f>D87</f>
        <v>33.840000000000003</v>
      </c>
    </row>
    <row r="91" spans="1:25">
      <c r="B91" s="18" t="s">
        <v>61</v>
      </c>
      <c r="C91" s="18" t="s">
        <v>37</v>
      </c>
      <c r="D91" s="18" t="s">
        <v>60</v>
      </c>
      <c r="E91" s="19" t="s">
        <v>19</v>
      </c>
      <c r="F91" s="19" t="s">
        <v>20</v>
      </c>
      <c r="G91" s="19" t="s">
        <v>21</v>
      </c>
      <c r="H91" s="19" t="s">
        <v>22</v>
      </c>
      <c r="I91" s="19" t="s">
        <v>23</v>
      </c>
      <c r="J91" s="19" t="s">
        <v>51</v>
      </c>
      <c r="K91" s="19" t="s">
        <v>24</v>
      </c>
      <c r="L91" s="19" t="s">
        <v>25</v>
      </c>
      <c r="M91" s="19" t="s">
        <v>26</v>
      </c>
      <c r="N91" s="19" t="s">
        <v>52</v>
      </c>
      <c r="O91" s="19" t="s">
        <v>27</v>
      </c>
      <c r="P91" s="19" t="s">
        <v>28</v>
      </c>
      <c r="Q91" s="19" t="s">
        <v>29</v>
      </c>
      <c r="R91" s="19" t="s">
        <v>53</v>
      </c>
      <c r="S91" s="19" t="s">
        <v>30</v>
      </c>
      <c r="T91" s="19" t="s">
        <v>31</v>
      </c>
      <c r="U91" s="19" t="s">
        <v>32</v>
      </c>
      <c r="V91" s="19" t="s">
        <v>33</v>
      </c>
      <c r="W91" s="19" t="s">
        <v>34</v>
      </c>
      <c r="X91" s="19" t="s">
        <v>35</v>
      </c>
    </row>
    <row r="92" spans="1:25">
      <c r="B92" s="20"/>
      <c r="C92" s="21" t="s">
        <v>14</v>
      </c>
      <c r="D92" s="21"/>
      <c r="E92" s="21" t="s">
        <v>39</v>
      </c>
      <c r="F92" s="20"/>
      <c r="G92" s="20"/>
      <c r="H92" s="19"/>
      <c r="I92" s="19"/>
      <c r="J92" s="19"/>
      <c r="K92" s="21" t="s">
        <v>13</v>
      </c>
      <c r="L92" s="21" t="s">
        <v>13</v>
      </c>
      <c r="M92" s="21" t="s">
        <v>13</v>
      </c>
      <c r="N92" s="21"/>
      <c r="O92" s="21" t="s">
        <v>41</v>
      </c>
      <c r="P92" s="21" t="s">
        <v>41</v>
      </c>
      <c r="Q92" s="21" t="s">
        <v>41</v>
      </c>
      <c r="R92" s="21"/>
      <c r="S92" s="21" t="s">
        <v>41</v>
      </c>
      <c r="T92" s="21" t="s">
        <v>41</v>
      </c>
      <c r="U92" s="21" t="s">
        <v>42</v>
      </c>
      <c r="V92" s="21"/>
      <c r="W92" s="21" t="s">
        <v>41</v>
      </c>
      <c r="X92" s="21" t="s">
        <v>42</v>
      </c>
    </row>
    <row r="93" spans="1:25">
      <c r="A93" s="15" t="s">
        <v>36</v>
      </c>
      <c r="B93" s="22"/>
      <c r="C93" s="23"/>
      <c r="D93" s="23"/>
      <c r="E93" s="24"/>
      <c r="F93" s="17"/>
      <c r="G93" s="25"/>
      <c r="H93" s="25"/>
      <c r="I93" s="25"/>
      <c r="J93" s="25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16"/>
      <c r="W93" s="27"/>
      <c r="X93" s="27"/>
    </row>
    <row r="94" spans="1:25">
      <c r="B94" s="22">
        <v>1.0000000000000001E-5</v>
      </c>
      <c r="C94" s="28">
        <f t="shared" ref="C94" si="47">B94/$D$15*$D$13</f>
        <v>4.285714285714286E-4</v>
      </c>
      <c r="D94" s="29">
        <f>C94/$D$10</f>
        <v>3.0395136778115506E-6</v>
      </c>
      <c r="E94" s="36">
        <f t="shared" ref="E94:E112" si="48">-0.003/C94</f>
        <v>-7</v>
      </c>
      <c r="F94" s="17">
        <f>E94*(C94-$D$11)</f>
        <v>2225.9969999999998</v>
      </c>
      <c r="G94" s="25">
        <f>E94*(C94-($D$20))</f>
        <v>104.997</v>
      </c>
      <c r="H94" s="25">
        <f>E94*(C94-($D$21))</f>
        <v>661.49699999999996</v>
      </c>
      <c r="I94" s="17">
        <f>E94*(C94-($D$22))</f>
        <v>1564.4970000000001</v>
      </c>
      <c r="J94" s="16">
        <f>E94*(C94-$D$23)</f>
        <v>2120.9969999999998</v>
      </c>
      <c r="K94" s="26">
        <f>SIGN(G94)*MIN($D$8*ABS(G94),$D$7)</f>
        <v>80</v>
      </c>
      <c r="L94" s="26">
        <f>SIGN(H94)*MIN($D$8*ABS(H94),$D$7)</f>
        <v>80</v>
      </c>
      <c r="M94" s="26">
        <f>SIGN(I94)*MIN($D$8*ABS(I94),$D$7)</f>
        <v>80</v>
      </c>
      <c r="N94" s="26">
        <f>SIGN(J94)*MIN($D$8*ABS(J94),$D$7)</f>
        <v>80</v>
      </c>
      <c r="O94" s="27">
        <f>$D$87*K94</f>
        <v>2707.2000000000003</v>
      </c>
      <c r="P94" s="27">
        <f>$D$88*L94</f>
        <v>2476.8000000000002</v>
      </c>
      <c r="Q94" s="27">
        <f>$D$89*M94</f>
        <v>2476.8000000000002</v>
      </c>
      <c r="R94" s="27">
        <f>N94*$D$90</f>
        <v>2707.2000000000003</v>
      </c>
      <c r="S94" s="27">
        <f>$D$15*C94*$D$10*(-0.85*$D$6)</f>
        <v>-0.25168500000000005</v>
      </c>
      <c r="T94" s="27">
        <f>SUM(O94:S94)</f>
        <v>10367.748315000001</v>
      </c>
      <c r="U94" s="27">
        <f>(S94*($D$18-$D$15*C94/2)+O94*($D$18-$D$20)+(P94*($D$18-$D$21))+(Q94*($D$18-$D$22))+R94*($D$18-$D$23))/12</f>
        <v>-3.3348231039320431</v>
      </c>
      <c r="V94" s="16">
        <f>MAX(0.65,MIN(0.9,0.65+(F94-0.002)*250/3))</f>
        <v>0.9</v>
      </c>
      <c r="W94" s="27">
        <f>V94*T94</f>
        <v>9330.9734835000017</v>
      </c>
      <c r="X94" s="27">
        <f>V94*U94</f>
        <v>-3.001340793538839</v>
      </c>
      <c r="Y94" s="27">
        <f>-X94</f>
        <v>3.001340793538839</v>
      </c>
    </row>
    <row r="95" spans="1:25">
      <c r="B95" s="22">
        <v>0.05</v>
      </c>
      <c r="C95" s="23">
        <f>B95/$D$15*$D$13</f>
        <v>2.1428571428571432</v>
      </c>
      <c r="D95" s="29">
        <f>C95/$D$11</f>
        <v>6.7385444743935322E-3</v>
      </c>
      <c r="E95" s="36">
        <f t="shared" si="48"/>
        <v>-1.3999999999999998E-3</v>
      </c>
      <c r="F95" s="17">
        <f>E95*(C95-$D$11)</f>
        <v>0.44219999999999987</v>
      </c>
      <c r="G95" s="25">
        <f>E95*(C95-($D$20))</f>
        <v>1.7999999999999999E-2</v>
      </c>
      <c r="H95" s="25">
        <f>E95*(C95-($D$21))</f>
        <v>0.12929999999999997</v>
      </c>
      <c r="I95" s="25">
        <f>E95*(C95-($D$22))</f>
        <v>0.30989999999999995</v>
      </c>
      <c r="J95" s="16">
        <f t="shared" ref="J95:J112" si="49">E95*(C95-$D$23)</f>
        <v>0.42119999999999991</v>
      </c>
      <c r="K95" s="26">
        <f t="shared" ref="K95:K112" si="50">SIGN(G95)*MIN($D$8*ABS(G95),$D$7)</f>
        <v>80</v>
      </c>
      <c r="L95" s="26">
        <f t="shared" ref="L95:L112" si="51">SIGN(H95)*MIN($D$8*ABS(H95),$D$7)</f>
        <v>80</v>
      </c>
      <c r="M95" s="26">
        <f t="shared" ref="M95:M112" si="52">SIGN(I95)*MIN($D$8*ABS(I95),$D$7)</f>
        <v>80</v>
      </c>
      <c r="N95" s="26">
        <f t="shared" ref="N95:N112" si="53">SIGN(J95)*MIN($D$8*ABS(J95),$D$7)</f>
        <v>80</v>
      </c>
      <c r="O95" s="27">
        <f t="shared" ref="O95:O112" si="54">$D$87*K95</f>
        <v>2707.2000000000003</v>
      </c>
      <c r="P95" s="27">
        <f t="shared" ref="P95:P112" si="55">$D$88*L95</f>
        <v>2476.8000000000002</v>
      </c>
      <c r="Q95" s="27">
        <f t="shared" ref="Q95:Q112" si="56">$D$89*M95</f>
        <v>2476.8000000000002</v>
      </c>
      <c r="R95" s="27">
        <f t="shared" ref="R95:R112" si="57">N95*$D$90</f>
        <v>2707.2000000000003</v>
      </c>
      <c r="S95" s="27">
        <f t="shared" ref="S95:S112" si="58">$D$15*C95*$D$10*(-0.85*$D$6)</f>
        <v>-1258.4250000000002</v>
      </c>
      <c r="T95" s="27">
        <f t="shared" ref="T95:T112" si="59">SUM(O95:S95)</f>
        <v>9109.5750000000007</v>
      </c>
      <c r="U95" s="27">
        <f t="shared" ref="U95:U112" si="60">(S95*($D$18-$D$15*C95/2)+O95*($D$18-$D$20)+(P95*($D$18-$D$21))+(Q95*($D$18-$D$22))+R95*($D$18-$D$23))/12</f>
        <v>-16595.479687499999</v>
      </c>
      <c r="V95" s="16">
        <f t="shared" ref="V95:V112" si="61">MAX(0.65,MIN(0.9,0.65+(F95-0.002)*250/3))</f>
        <v>0.9</v>
      </c>
      <c r="W95" s="27">
        <f t="shared" ref="W95:W112" si="62">V95*T95</f>
        <v>8198.6175000000003</v>
      </c>
      <c r="X95" s="27">
        <f t="shared" ref="X95:X112" si="63">V95*U95</f>
        <v>-14935.93171875</v>
      </c>
      <c r="Y95" s="27">
        <f t="shared" ref="Y95:Y112" si="64">-X95</f>
        <v>14935.93171875</v>
      </c>
    </row>
    <row r="96" spans="1:25">
      <c r="B96" s="22">
        <v>0.1</v>
      </c>
      <c r="C96" s="23">
        <f>B96/$D$15*$D$13</f>
        <v>4.2857142857142865</v>
      </c>
      <c r="D96" s="29">
        <f t="shared" ref="D96:D112" si="65">C96/$D$11</f>
        <v>1.3477088948787064E-2</v>
      </c>
      <c r="E96" s="36">
        <f t="shared" si="48"/>
        <v>-6.9999999999999988E-4</v>
      </c>
      <c r="F96" s="17">
        <f t="shared" ref="F96:F112" si="66">E96*(C96-$D$11)</f>
        <v>0.21959999999999996</v>
      </c>
      <c r="G96" s="25">
        <f t="shared" ref="G96:G112" si="67">E96*(C96-($D$20))</f>
        <v>7.499999999999998E-3</v>
      </c>
      <c r="H96" s="25">
        <f t="shared" ref="H96:H112" si="68">E96*(C96-($D$21))</f>
        <v>6.3149999999999984E-2</v>
      </c>
      <c r="I96" s="25">
        <f t="shared" ref="I96:I112" si="69">E96*(C96-($D$22))</f>
        <v>0.15344999999999998</v>
      </c>
      <c r="J96" s="16">
        <f t="shared" si="49"/>
        <v>0.20909999999999998</v>
      </c>
      <c r="K96" s="26">
        <f t="shared" si="50"/>
        <v>80</v>
      </c>
      <c r="L96" s="26">
        <f t="shared" si="51"/>
        <v>80</v>
      </c>
      <c r="M96" s="26">
        <f t="shared" si="52"/>
        <v>80</v>
      </c>
      <c r="N96" s="26">
        <f t="shared" si="53"/>
        <v>80</v>
      </c>
      <c r="O96" s="27">
        <f t="shared" si="54"/>
        <v>2707.2000000000003</v>
      </c>
      <c r="P96" s="27">
        <f t="shared" si="55"/>
        <v>2476.8000000000002</v>
      </c>
      <c r="Q96" s="27">
        <f t="shared" si="56"/>
        <v>2476.8000000000002</v>
      </c>
      <c r="R96" s="27">
        <f t="shared" si="57"/>
        <v>2707.2000000000003</v>
      </c>
      <c r="S96" s="27">
        <f t="shared" si="58"/>
        <v>-2516.8500000000004</v>
      </c>
      <c r="T96" s="27">
        <f t="shared" si="59"/>
        <v>7851.15</v>
      </c>
      <c r="U96" s="27">
        <f t="shared" si="60"/>
        <v>-33033.656250000007</v>
      </c>
      <c r="V96" s="16">
        <f t="shared" si="61"/>
        <v>0.9</v>
      </c>
      <c r="W96" s="27">
        <f t="shared" si="62"/>
        <v>7066.0349999999999</v>
      </c>
      <c r="X96" s="27">
        <f t="shared" si="63"/>
        <v>-29730.290625000009</v>
      </c>
      <c r="Y96" s="27">
        <f t="shared" si="64"/>
        <v>29730.290625000009</v>
      </c>
    </row>
    <row r="97" spans="2:25">
      <c r="B97" s="22">
        <v>0.15</v>
      </c>
      <c r="C97" s="23">
        <f>B97/$D$15*$D$13</f>
        <v>6.4285714285714288</v>
      </c>
      <c r="D97" s="29">
        <f t="shared" si="65"/>
        <v>2.0215633423180595E-2</v>
      </c>
      <c r="E97" s="36">
        <f t="shared" si="48"/>
        <v>-4.6666666666666666E-4</v>
      </c>
      <c r="F97" s="17">
        <f t="shared" si="66"/>
        <v>0.1454</v>
      </c>
      <c r="G97" s="25">
        <f t="shared" si="67"/>
        <v>4.0000000000000001E-3</v>
      </c>
      <c r="H97" s="25">
        <f t="shared" si="68"/>
        <v>4.1099999999999998E-2</v>
      </c>
      <c r="I97" s="25">
        <f t="shared" si="69"/>
        <v>0.1013</v>
      </c>
      <c r="J97" s="16">
        <f t="shared" si="49"/>
        <v>0.1384</v>
      </c>
      <c r="K97" s="26">
        <f t="shared" si="50"/>
        <v>80</v>
      </c>
      <c r="L97" s="26">
        <f t="shared" si="51"/>
        <v>80</v>
      </c>
      <c r="M97" s="26">
        <f t="shared" si="52"/>
        <v>80</v>
      </c>
      <c r="N97" s="26">
        <f t="shared" si="53"/>
        <v>80</v>
      </c>
      <c r="O97" s="27">
        <f t="shared" si="54"/>
        <v>2707.2000000000003</v>
      </c>
      <c r="P97" s="27">
        <f t="shared" si="55"/>
        <v>2476.8000000000002</v>
      </c>
      <c r="Q97" s="27">
        <f t="shared" si="56"/>
        <v>2476.8000000000002</v>
      </c>
      <c r="R97" s="27">
        <f t="shared" si="57"/>
        <v>2707.2000000000003</v>
      </c>
      <c r="S97" s="27">
        <f t="shared" si="58"/>
        <v>-3775.2750000000001</v>
      </c>
      <c r="T97" s="27">
        <f t="shared" si="59"/>
        <v>6592.7250000000004</v>
      </c>
      <c r="U97" s="27">
        <f t="shared" si="60"/>
        <v>-49314.529687500006</v>
      </c>
      <c r="V97" s="16">
        <f t="shared" si="61"/>
        <v>0.9</v>
      </c>
      <c r="W97" s="27">
        <f t="shared" si="62"/>
        <v>5933.4525000000003</v>
      </c>
      <c r="X97" s="27">
        <f t="shared" si="63"/>
        <v>-44383.07671875001</v>
      </c>
      <c r="Y97" s="27">
        <f t="shared" si="64"/>
        <v>44383.07671875001</v>
      </c>
    </row>
    <row r="98" spans="2:25">
      <c r="B98" s="22">
        <v>0.2</v>
      </c>
      <c r="C98" s="23">
        <f>B98/$D$15*$D$13</f>
        <v>8.571428571428573</v>
      </c>
      <c r="D98" s="29">
        <f t="shared" si="65"/>
        <v>2.6954177897574129E-2</v>
      </c>
      <c r="E98" s="36">
        <f t="shared" si="48"/>
        <v>-3.4999999999999994E-4</v>
      </c>
      <c r="F98" s="17">
        <f t="shared" si="66"/>
        <v>0.10829999999999999</v>
      </c>
      <c r="G98" s="25">
        <f t="shared" si="67"/>
        <v>2.249999999999999E-3</v>
      </c>
      <c r="H98" s="25">
        <f t="shared" si="68"/>
        <v>3.0074999999999994E-2</v>
      </c>
      <c r="I98" s="25">
        <f t="shared" si="69"/>
        <v>7.5224999999999986E-2</v>
      </c>
      <c r="J98" s="16">
        <f t="shared" si="49"/>
        <v>0.10304999999999999</v>
      </c>
      <c r="K98" s="26">
        <f t="shared" si="50"/>
        <v>65.249999999999972</v>
      </c>
      <c r="L98" s="26">
        <f t="shared" si="51"/>
        <v>80</v>
      </c>
      <c r="M98" s="26">
        <f t="shared" si="52"/>
        <v>80</v>
      </c>
      <c r="N98" s="26">
        <f t="shared" si="53"/>
        <v>80</v>
      </c>
      <c r="O98" s="27">
        <f t="shared" si="54"/>
        <v>2208.059999999999</v>
      </c>
      <c r="P98" s="27">
        <f t="shared" si="55"/>
        <v>2476.8000000000002</v>
      </c>
      <c r="Q98" s="27">
        <f t="shared" si="56"/>
        <v>2476.8000000000002</v>
      </c>
      <c r="R98" s="27">
        <f t="shared" si="57"/>
        <v>2707.2000000000003</v>
      </c>
      <c r="S98" s="27">
        <f t="shared" si="58"/>
        <v>-5033.7000000000007</v>
      </c>
      <c r="T98" s="27">
        <f t="shared" si="59"/>
        <v>4835.159999999998</v>
      </c>
      <c r="U98" s="27">
        <f t="shared" si="60"/>
        <v>-71427.780000000013</v>
      </c>
      <c r="V98" s="16">
        <f t="shared" si="61"/>
        <v>0.9</v>
      </c>
      <c r="W98" s="27">
        <f t="shared" si="62"/>
        <v>4351.6439999999984</v>
      </c>
      <c r="X98" s="27">
        <f t="shared" si="63"/>
        <v>-64285.002000000015</v>
      </c>
      <c r="Y98" s="27">
        <f t="shared" si="64"/>
        <v>64285.002000000015</v>
      </c>
    </row>
    <row r="99" spans="2:25">
      <c r="B99" s="22">
        <v>0.25</v>
      </c>
      <c r="C99" s="23">
        <f>B99/$D$15*$D$13</f>
        <v>10.714285714285715</v>
      </c>
      <c r="D99" s="29">
        <f t="shared" si="65"/>
        <v>3.3692722371967659E-2</v>
      </c>
      <c r="E99" s="36">
        <f t="shared" si="48"/>
        <v>-2.7999999999999998E-4</v>
      </c>
      <c r="F99" s="17">
        <f t="shared" si="66"/>
        <v>8.6039999999999991E-2</v>
      </c>
      <c r="G99" s="25">
        <f t="shared" si="67"/>
        <v>1.1999999999999997E-3</v>
      </c>
      <c r="H99" s="25">
        <f t="shared" si="68"/>
        <v>2.3459999999999995E-2</v>
      </c>
      <c r="I99" s="25">
        <f t="shared" si="69"/>
        <v>5.9579999999999994E-2</v>
      </c>
      <c r="J99" s="16">
        <f t="shared" si="49"/>
        <v>8.1839999999999996E-2</v>
      </c>
      <c r="K99" s="26">
        <f t="shared" si="50"/>
        <v>34.79999999999999</v>
      </c>
      <c r="L99" s="26">
        <f t="shared" si="51"/>
        <v>80</v>
      </c>
      <c r="M99" s="26">
        <f t="shared" si="52"/>
        <v>80</v>
      </c>
      <c r="N99" s="26">
        <f t="shared" si="53"/>
        <v>80</v>
      </c>
      <c r="O99" s="27">
        <f t="shared" si="54"/>
        <v>1177.6319999999998</v>
      </c>
      <c r="P99" s="27">
        <f t="shared" si="55"/>
        <v>2476.8000000000002</v>
      </c>
      <c r="Q99" s="27">
        <f t="shared" si="56"/>
        <v>2476.8000000000002</v>
      </c>
      <c r="R99" s="27">
        <f t="shared" si="57"/>
        <v>2707.2000000000003</v>
      </c>
      <c r="S99" s="27">
        <f t="shared" si="58"/>
        <v>-6292.125</v>
      </c>
      <c r="T99" s="27">
        <f t="shared" si="59"/>
        <v>2546.3070000000007</v>
      </c>
      <c r="U99" s="27">
        <f t="shared" si="60"/>
        <v>-99759.183187500006</v>
      </c>
      <c r="V99" s="16">
        <f t="shared" si="61"/>
        <v>0.9</v>
      </c>
      <c r="W99" s="27">
        <f t="shared" si="62"/>
        <v>2291.6763000000005</v>
      </c>
      <c r="X99" s="27">
        <f t="shared" si="63"/>
        <v>-89783.264868750004</v>
      </c>
      <c r="Y99" s="27">
        <f t="shared" si="64"/>
        <v>89783.264868750004</v>
      </c>
    </row>
    <row r="100" spans="2:25">
      <c r="B100" s="22">
        <v>0.3</v>
      </c>
      <c r="C100" s="23">
        <f t="shared" ref="C100:C112" si="70">B100/$D$15*$D$13</f>
        <v>12.857142857142858</v>
      </c>
      <c r="D100" s="29">
        <f t="shared" si="65"/>
        <v>4.043126684636119E-2</v>
      </c>
      <c r="E100" s="36">
        <f t="shared" si="48"/>
        <v>-2.3333333333333333E-4</v>
      </c>
      <c r="F100" s="17">
        <f t="shared" si="66"/>
        <v>7.1199999999999999E-2</v>
      </c>
      <c r="G100" s="25">
        <f t="shared" si="67"/>
        <v>4.999999999999999E-4</v>
      </c>
      <c r="H100" s="25">
        <f t="shared" si="68"/>
        <v>1.9049999999999997E-2</v>
      </c>
      <c r="I100" s="25">
        <f t="shared" si="69"/>
        <v>4.9149999999999999E-2</v>
      </c>
      <c r="J100" s="16">
        <f t="shared" si="49"/>
        <v>6.770000000000001E-2</v>
      </c>
      <c r="K100" s="26">
        <f t="shared" si="50"/>
        <v>14.499999999999996</v>
      </c>
      <c r="L100" s="26">
        <f t="shared" si="51"/>
        <v>80</v>
      </c>
      <c r="M100" s="26">
        <f t="shared" si="52"/>
        <v>80</v>
      </c>
      <c r="N100" s="26">
        <f t="shared" si="53"/>
        <v>80</v>
      </c>
      <c r="O100" s="27">
        <f t="shared" si="54"/>
        <v>490.67999999999995</v>
      </c>
      <c r="P100" s="27">
        <f t="shared" si="55"/>
        <v>2476.8000000000002</v>
      </c>
      <c r="Q100" s="27">
        <f t="shared" si="56"/>
        <v>2476.8000000000002</v>
      </c>
      <c r="R100" s="27">
        <f t="shared" si="57"/>
        <v>2707.2000000000003</v>
      </c>
      <c r="S100" s="27">
        <f t="shared" si="58"/>
        <v>-7550.55</v>
      </c>
      <c r="T100" s="27">
        <f t="shared" si="59"/>
        <v>600.9300000000012</v>
      </c>
      <c r="U100" s="27">
        <f t="shared" si="60"/>
        <v>-123811.57125000002</v>
      </c>
      <c r="V100" s="16">
        <f t="shared" si="61"/>
        <v>0.9</v>
      </c>
      <c r="W100" s="27">
        <f t="shared" si="62"/>
        <v>540.83700000000113</v>
      </c>
      <c r="X100" s="27">
        <f t="shared" si="63"/>
        <v>-111430.41412500002</v>
      </c>
      <c r="Y100" s="27">
        <f t="shared" si="64"/>
        <v>111430.41412500002</v>
      </c>
    </row>
    <row r="101" spans="2:25">
      <c r="B101" s="22">
        <v>0.35</v>
      </c>
      <c r="C101" s="23">
        <f t="shared" si="70"/>
        <v>15</v>
      </c>
      <c r="D101" s="29">
        <f t="shared" si="65"/>
        <v>4.716981132075472E-2</v>
      </c>
      <c r="E101" s="36">
        <f t="shared" si="48"/>
        <v>-2.0000000000000001E-4</v>
      </c>
      <c r="F101" s="17">
        <f t="shared" si="66"/>
        <v>6.0600000000000001E-2</v>
      </c>
      <c r="G101" s="25">
        <f t="shared" si="67"/>
        <v>0</v>
      </c>
      <c r="H101" s="25">
        <f t="shared" si="68"/>
        <v>1.5900000000000001E-2</v>
      </c>
      <c r="I101" s="25">
        <f t="shared" si="69"/>
        <v>4.1700000000000001E-2</v>
      </c>
      <c r="J101" s="16">
        <f t="shared" si="49"/>
        <v>5.7600000000000005E-2</v>
      </c>
      <c r="K101" s="26">
        <f t="shared" si="50"/>
        <v>0</v>
      </c>
      <c r="L101" s="26">
        <f t="shared" si="51"/>
        <v>80</v>
      </c>
      <c r="M101" s="26">
        <f t="shared" si="52"/>
        <v>80</v>
      </c>
      <c r="N101" s="26">
        <f t="shared" si="53"/>
        <v>80</v>
      </c>
      <c r="O101" s="27">
        <f t="shared" si="54"/>
        <v>0</v>
      </c>
      <c r="P101" s="27">
        <f t="shared" si="55"/>
        <v>2476.8000000000002</v>
      </c>
      <c r="Q101" s="27">
        <f t="shared" si="56"/>
        <v>2476.8000000000002</v>
      </c>
      <c r="R101" s="27">
        <f t="shared" si="57"/>
        <v>2707.2000000000003</v>
      </c>
      <c r="S101" s="27">
        <f t="shared" si="58"/>
        <v>-8808.9750000000004</v>
      </c>
      <c r="T101" s="27">
        <f t="shared" si="59"/>
        <v>-1148.1749999999993</v>
      </c>
      <c r="U101" s="27">
        <f t="shared" si="60"/>
        <v>-145351.39218749999</v>
      </c>
      <c r="V101" s="16">
        <f t="shared" si="61"/>
        <v>0.9</v>
      </c>
      <c r="W101" s="27">
        <f t="shared" si="62"/>
        <v>-1033.3574999999994</v>
      </c>
      <c r="X101" s="27">
        <f t="shared" si="63"/>
        <v>-130816.25296874999</v>
      </c>
      <c r="Y101" s="27">
        <f t="shared" si="64"/>
        <v>130816.25296874999</v>
      </c>
    </row>
    <row r="102" spans="2:25">
      <c r="B102" s="22">
        <v>0.4</v>
      </c>
      <c r="C102" s="23">
        <f t="shared" si="70"/>
        <v>17.142857142857146</v>
      </c>
      <c r="D102" s="29">
        <f t="shared" si="65"/>
        <v>5.3908355795148258E-2</v>
      </c>
      <c r="E102" s="36">
        <f t="shared" si="48"/>
        <v>-1.7499999999999997E-4</v>
      </c>
      <c r="F102" s="17">
        <f t="shared" si="66"/>
        <v>5.2649999999999988E-2</v>
      </c>
      <c r="G102" s="25">
        <f t="shared" si="67"/>
        <v>-3.750000000000005E-4</v>
      </c>
      <c r="H102" s="25">
        <f t="shared" si="68"/>
        <v>1.3537499999999999E-2</v>
      </c>
      <c r="I102" s="25">
        <f t="shared" si="69"/>
        <v>3.6112499999999992E-2</v>
      </c>
      <c r="J102" s="16">
        <f t="shared" si="49"/>
        <v>5.0024999999999986E-2</v>
      </c>
      <c r="K102" s="26">
        <f t="shared" si="50"/>
        <v>-10.875000000000014</v>
      </c>
      <c r="L102" s="26">
        <f t="shared" si="51"/>
        <v>80</v>
      </c>
      <c r="M102" s="26">
        <f t="shared" si="52"/>
        <v>80</v>
      </c>
      <c r="N102" s="26">
        <f t="shared" si="53"/>
        <v>80</v>
      </c>
      <c r="O102" s="27">
        <f t="shared" si="54"/>
        <v>-368.0100000000005</v>
      </c>
      <c r="P102" s="27">
        <f t="shared" si="55"/>
        <v>2476.8000000000002</v>
      </c>
      <c r="Q102" s="27">
        <f t="shared" si="56"/>
        <v>2476.8000000000002</v>
      </c>
      <c r="R102" s="27">
        <f t="shared" si="57"/>
        <v>2707.2000000000003</v>
      </c>
      <c r="S102" s="27">
        <f t="shared" si="58"/>
        <v>-10067.400000000001</v>
      </c>
      <c r="T102" s="27">
        <f t="shared" si="59"/>
        <v>-2774.6100000000006</v>
      </c>
      <c r="U102" s="27">
        <f t="shared" si="60"/>
        <v>-165261.87000000002</v>
      </c>
      <c r="V102" s="16">
        <f t="shared" si="61"/>
        <v>0.9</v>
      </c>
      <c r="W102" s="27">
        <f t="shared" si="62"/>
        <v>-2497.1490000000008</v>
      </c>
      <c r="X102" s="27">
        <f t="shared" si="63"/>
        <v>-148735.68300000002</v>
      </c>
      <c r="Y102" s="27">
        <f t="shared" si="64"/>
        <v>148735.68300000002</v>
      </c>
    </row>
    <row r="103" spans="2:25">
      <c r="B103" s="22">
        <v>0.45</v>
      </c>
      <c r="C103" s="23">
        <f t="shared" si="70"/>
        <v>19.285714285714288</v>
      </c>
      <c r="D103" s="29">
        <f t="shared" si="65"/>
        <v>6.0646900269541788E-2</v>
      </c>
      <c r="E103" s="36">
        <f t="shared" si="48"/>
        <v>-1.5555555555555554E-4</v>
      </c>
      <c r="F103" s="17">
        <f t="shared" si="66"/>
        <v>4.6466666666666663E-2</v>
      </c>
      <c r="G103" s="25">
        <f t="shared" si="67"/>
        <v>-6.6666666666666697E-4</v>
      </c>
      <c r="H103" s="25">
        <f t="shared" si="68"/>
        <v>1.1699999999999997E-2</v>
      </c>
      <c r="I103" s="25">
        <f t="shared" si="69"/>
        <v>3.1766666666666665E-2</v>
      </c>
      <c r="J103" s="16">
        <f t="shared" si="49"/>
        <v>4.413333333333333E-2</v>
      </c>
      <c r="K103" s="26">
        <f t="shared" si="50"/>
        <v>-19.333333333333343</v>
      </c>
      <c r="L103" s="26">
        <f t="shared" si="51"/>
        <v>80</v>
      </c>
      <c r="M103" s="26">
        <f t="shared" si="52"/>
        <v>80</v>
      </c>
      <c r="N103" s="26">
        <f t="shared" si="53"/>
        <v>80</v>
      </c>
      <c r="O103" s="27">
        <f t="shared" si="54"/>
        <v>-654.24000000000035</v>
      </c>
      <c r="P103" s="27">
        <f t="shared" si="55"/>
        <v>2476.8000000000002</v>
      </c>
      <c r="Q103" s="27">
        <f t="shared" si="56"/>
        <v>2476.8000000000002</v>
      </c>
      <c r="R103" s="27">
        <f t="shared" si="57"/>
        <v>2707.2000000000003</v>
      </c>
      <c r="S103" s="27">
        <f t="shared" si="58"/>
        <v>-11325.825000000003</v>
      </c>
      <c r="T103" s="27">
        <f t="shared" si="59"/>
        <v>-4319.2650000000012</v>
      </c>
      <c r="U103" s="27">
        <f t="shared" si="60"/>
        <v>-184033.68468750003</v>
      </c>
      <c r="V103" s="16">
        <f t="shared" si="61"/>
        <v>0.9</v>
      </c>
      <c r="W103" s="27">
        <f t="shared" si="62"/>
        <v>-3887.3385000000012</v>
      </c>
      <c r="X103" s="27">
        <f t="shared" si="63"/>
        <v>-165630.31621875003</v>
      </c>
      <c r="Y103" s="27">
        <f t="shared" si="64"/>
        <v>165630.31621875003</v>
      </c>
    </row>
    <row r="104" spans="2:25">
      <c r="B104" s="22">
        <v>0.5</v>
      </c>
      <c r="C104" s="23">
        <f t="shared" si="70"/>
        <v>21.428571428571431</v>
      </c>
      <c r="D104" s="29">
        <f t="shared" si="65"/>
        <v>6.7385444743935319E-2</v>
      </c>
      <c r="E104" s="36">
        <f t="shared" si="48"/>
        <v>-1.3999999999999999E-4</v>
      </c>
      <c r="F104" s="17">
        <f t="shared" si="66"/>
        <v>4.1519999999999994E-2</v>
      </c>
      <c r="G104" s="25">
        <f t="shared" si="67"/>
        <v>-9.0000000000000019E-4</v>
      </c>
      <c r="H104" s="25">
        <f t="shared" si="68"/>
        <v>1.023E-2</v>
      </c>
      <c r="I104" s="25">
        <f t="shared" si="69"/>
        <v>2.8289999999999996E-2</v>
      </c>
      <c r="J104" s="16">
        <f t="shared" si="49"/>
        <v>3.9419999999999997E-2</v>
      </c>
      <c r="K104" s="26">
        <f t="shared" si="50"/>
        <v>-26.100000000000005</v>
      </c>
      <c r="L104" s="26">
        <f t="shared" si="51"/>
        <v>80</v>
      </c>
      <c r="M104" s="26">
        <f t="shared" si="52"/>
        <v>80</v>
      </c>
      <c r="N104" s="26">
        <f t="shared" si="53"/>
        <v>80</v>
      </c>
      <c r="O104" s="27">
        <f t="shared" si="54"/>
        <v>-883.22400000000027</v>
      </c>
      <c r="P104" s="27">
        <f t="shared" si="55"/>
        <v>2476.8000000000002</v>
      </c>
      <c r="Q104" s="27">
        <f t="shared" si="56"/>
        <v>2476.8000000000002</v>
      </c>
      <c r="R104" s="27">
        <f t="shared" si="57"/>
        <v>2707.2000000000003</v>
      </c>
      <c r="S104" s="27">
        <f t="shared" si="58"/>
        <v>-12584.25</v>
      </c>
      <c r="T104" s="27">
        <f t="shared" si="59"/>
        <v>-5806.6739999999991</v>
      </c>
      <c r="U104" s="27">
        <f t="shared" si="60"/>
        <v>-201961.24424999999</v>
      </c>
      <c r="V104" s="16">
        <f t="shared" si="61"/>
        <v>0.9</v>
      </c>
      <c r="W104" s="27">
        <f t="shared" si="62"/>
        <v>-5226.0065999999997</v>
      </c>
      <c r="X104" s="27">
        <f t="shared" si="63"/>
        <v>-181765.119825</v>
      </c>
      <c r="Y104" s="27">
        <f t="shared" si="64"/>
        <v>181765.119825</v>
      </c>
    </row>
    <row r="105" spans="2:25">
      <c r="B105" s="22">
        <v>0.55000000000000004</v>
      </c>
      <c r="C105" s="23">
        <f t="shared" si="70"/>
        <v>23.571428571428573</v>
      </c>
      <c r="D105" s="29">
        <f t="shared" si="65"/>
        <v>7.4123989218328842E-2</v>
      </c>
      <c r="E105" s="36">
        <f t="shared" si="48"/>
        <v>-1.2727272727272725E-4</v>
      </c>
      <c r="F105" s="17">
        <f t="shared" si="66"/>
        <v>3.7472727272727269E-2</v>
      </c>
      <c r="G105" s="25">
        <f t="shared" si="67"/>
        <v>-1.090909090909091E-3</v>
      </c>
      <c r="H105" s="25">
        <f t="shared" si="68"/>
        <v>9.0272727272727258E-3</v>
      </c>
      <c r="I105" s="25">
        <f t="shared" si="69"/>
        <v>2.5445454545454538E-2</v>
      </c>
      <c r="J105" s="16">
        <f t="shared" si="49"/>
        <v>3.556363636363636E-2</v>
      </c>
      <c r="K105" s="26">
        <f t="shared" si="50"/>
        <v>-31.636363636363637</v>
      </c>
      <c r="L105" s="26">
        <f t="shared" si="51"/>
        <v>80</v>
      </c>
      <c r="M105" s="26">
        <f t="shared" si="52"/>
        <v>80</v>
      </c>
      <c r="N105" s="26">
        <f t="shared" si="53"/>
        <v>80</v>
      </c>
      <c r="O105" s="27">
        <f t="shared" si="54"/>
        <v>-1070.5745454545456</v>
      </c>
      <c r="P105" s="27">
        <f t="shared" si="55"/>
        <v>2476.8000000000002</v>
      </c>
      <c r="Q105" s="27">
        <f t="shared" si="56"/>
        <v>2476.8000000000002</v>
      </c>
      <c r="R105" s="27">
        <f t="shared" si="57"/>
        <v>2707.2000000000003</v>
      </c>
      <c r="S105" s="27">
        <f t="shared" si="58"/>
        <v>-13842.675000000001</v>
      </c>
      <c r="T105" s="27">
        <f t="shared" si="59"/>
        <v>-7252.4495454545468</v>
      </c>
      <c r="U105" s="27">
        <f t="shared" si="60"/>
        <v>-219231.89923295457</v>
      </c>
      <c r="V105" s="16">
        <f t="shared" si="61"/>
        <v>0.9</v>
      </c>
      <c r="W105" s="27">
        <f t="shared" si="62"/>
        <v>-6527.2045909090921</v>
      </c>
      <c r="X105" s="27">
        <f t="shared" si="63"/>
        <v>-197308.70930965911</v>
      </c>
      <c r="Y105" s="27">
        <f t="shared" si="64"/>
        <v>197308.70930965911</v>
      </c>
    </row>
    <row r="106" spans="2:25">
      <c r="B106" s="22">
        <v>0.6</v>
      </c>
      <c r="C106" s="23">
        <f t="shared" si="70"/>
        <v>25.714285714285715</v>
      </c>
      <c r="D106" s="29">
        <f t="shared" si="65"/>
        <v>8.086253369272238E-2</v>
      </c>
      <c r="E106" s="36">
        <f t="shared" si="48"/>
        <v>-1.1666666666666667E-4</v>
      </c>
      <c r="F106" s="17">
        <f t="shared" si="66"/>
        <v>3.4099999999999998E-2</v>
      </c>
      <c r="G106" s="25">
        <f t="shared" si="67"/>
        <v>-1.25E-3</v>
      </c>
      <c r="H106" s="25">
        <f t="shared" si="68"/>
        <v>8.0249999999999991E-3</v>
      </c>
      <c r="I106" s="25">
        <f t="shared" si="69"/>
        <v>2.3074999999999998E-2</v>
      </c>
      <c r="J106" s="16">
        <f t="shared" si="49"/>
        <v>3.2349999999999997E-2</v>
      </c>
      <c r="K106" s="26">
        <f t="shared" si="50"/>
        <v>-36.25</v>
      </c>
      <c r="L106" s="26">
        <f t="shared" si="51"/>
        <v>80</v>
      </c>
      <c r="M106" s="26">
        <f t="shared" si="52"/>
        <v>80</v>
      </c>
      <c r="N106" s="26">
        <f t="shared" si="53"/>
        <v>80</v>
      </c>
      <c r="O106" s="27">
        <f t="shared" si="54"/>
        <v>-1226.7</v>
      </c>
      <c r="P106" s="27">
        <f t="shared" si="55"/>
        <v>2476.8000000000002</v>
      </c>
      <c r="Q106" s="27">
        <f t="shared" si="56"/>
        <v>2476.8000000000002</v>
      </c>
      <c r="R106" s="27">
        <f t="shared" si="57"/>
        <v>2707.2000000000003</v>
      </c>
      <c r="S106" s="27">
        <f t="shared" si="58"/>
        <v>-15101.1</v>
      </c>
      <c r="T106" s="27">
        <f t="shared" si="59"/>
        <v>-8667</v>
      </c>
      <c r="U106" s="27">
        <f t="shared" si="60"/>
        <v>-235970.54999999996</v>
      </c>
      <c r="V106" s="16">
        <f t="shared" si="61"/>
        <v>0.9</v>
      </c>
      <c r="W106" s="27">
        <f t="shared" si="62"/>
        <v>-7800.3</v>
      </c>
      <c r="X106" s="27">
        <f t="shared" si="63"/>
        <v>-212373.49499999997</v>
      </c>
      <c r="Y106" s="27">
        <f t="shared" si="64"/>
        <v>212373.49499999997</v>
      </c>
    </row>
    <row r="107" spans="2:25">
      <c r="B107" s="22">
        <v>0.65</v>
      </c>
      <c r="C107" s="23">
        <f t="shared" si="70"/>
        <v>27.857142857142861</v>
      </c>
      <c r="D107" s="29">
        <f t="shared" si="65"/>
        <v>8.7601078167115917E-2</v>
      </c>
      <c r="E107" s="36">
        <f t="shared" si="48"/>
        <v>-1.0769230769230768E-4</v>
      </c>
      <c r="F107" s="17">
        <f t="shared" si="66"/>
        <v>3.124615384615384E-2</v>
      </c>
      <c r="G107" s="25">
        <f t="shared" si="67"/>
        <v>-1.384615384615385E-3</v>
      </c>
      <c r="H107" s="25">
        <f t="shared" si="68"/>
        <v>7.1769230769230755E-3</v>
      </c>
      <c r="I107" s="25">
        <f t="shared" si="69"/>
        <v>2.1069230769230767E-2</v>
      </c>
      <c r="J107" s="16">
        <f t="shared" si="49"/>
        <v>2.9630769230769224E-2</v>
      </c>
      <c r="K107" s="26">
        <f t="shared" si="50"/>
        <v>-40.15384615384616</v>
      </c>
      <c r="L107" s="26">
        <f t="shared" si="51"/>
        <v>80</v>
      </c>
      <c r="M107" s="26">
        <f t="shared" si="52"/>
        <v>80</v>
      </c>
      <c r="N107" s="26">
        <f t="shared" si="53"/>
        <v>80</v>
      </c>
      <c r="O107" s="27">
        <f t="shared" si="54"/>
        <v>-1358.8061538461543</v>
      </c>
      <c r="P107" s="27">
        <f t="shared" si="55"/>
        <v>2476.8000000000002</v>
      </c>
      <c r="Q107" s="27">
        <f t="shared" si="56"/>
        <v>2476.8000000000002</v>
      </c>
      <c r="R107" s="27">
        <f t="shared" si="57"/>
        <v>2707.2000000000003</v>
      </c>
      <c r="S107" s="27">
        <f t="shared" si="58"/>
        <v>-16359.525</v>
      </c>
      <c r="T107" s="27">
        <f t="shared" si="59"/>
        <v>-10057.531153846154</v>
      </c>
      <c r="U107" s="27">
        <f t="shared" si="60"/>
        <v>-252263.66603365386</v>
      </c>
      <c r="V107" s="16">
        <f t="shared" si="61"/>
        <v>0.9</v>
      </c>
      <c r="W107" s="27">
        <f t="shared" si="62"/>
        <v>-9051.778038461538</v>
      </c>
      <c r="X107" s="27">
        <f t="shared" si="63"/>
        <v>-227037.29943028849</v>
      </c>
      <c r="Y107" s="27">
        <f t="shared" si="64"/>
        <v>227037.29943028849</v>
      </c>
    </row>
    <row r="108" spans="2:25">
      <c r="B108" s="22">
        <v>0.7</v>
      </c>
      <c r="C108" s="23">
        <f t="shared" si="70"/>
        <v>30</v>
      </c>
      <c r="D108" s="29">
        <f t="shared" si="65"/>
        <v>9.4339622641509441E-2</v>
      </c>
      <c r="E108" s="36">
        <f t="shared" si="48"/>
        <v>-1E-4</v>
      </c>
      <c r="F108" s="17">
        <f t="shared" si="66"/>
        <v>2.8800000000000003E-2</v>
      </c>
      <c r="G108" s="25">
        <f t="shared" si="67"/>
        <v>-1.5E-3</v>
      </c>
      <c r="H108" s="25">
        <f t="shared" si="68"/>
        <v>6.45E-3</v>
      </c>
      <c r="I108" s="25">
        <f t="shared" si="69"/>
        <v>1.9350000000000003E-2</v>
      </c>
      <c r="J108" s="16">
        <f t="shared" si="49"/>
        <v>2.7300000000000001E-2</v>
      </c>
      <c r="K108" s="26">
        <f t="shared" si="50"/>
        <v>-43.5</v>
      </c>
      <c r="L108" s="26">
        <f t="shared" si="51"/>
        <v>80</v>
      </c>
      <c r="M108" s="26">
        <f t="shared" si="52"/>
        <v>80</v>
      </c>
      <c r="N108" s="26">
        <f t="shared" si="53"/>
        <v>80</v>
      </c>
      <c r="O108" s="27">
        <f t="shared" si="54"/>
        <v>-1472.0400000000002</v>
      </c>
      <c r="P108" s="27">
        <f t="shared" si="55"/>
        <v>2476.8000000000002</v>
      </c>
      <c r="Q108" s="27">
        <f t="shared" si="56"/>
        <v>2476.8000000000002</v>
      </c>
      <c r="R108" s="27">
        <f t="shared" si="57"/>
        <v>2707.2000000000003</v>
      </c>
      <c r="S108" s="27">
        <f t="shared" si="58"/>
        <v>-17617.95</v>
      </c>
      <c r="T108" s="27">
        <f t="shared" si="59"/>
        <v>-11429.19</v>
      </c>
      <c r="U108" s="27">
        <f t="shared" si="60"/>
        <v>-268173.01125000004</v>
      </c>
      <c r="V108" s="16">
        <f t="shared" si="61"/>
        <v>0.9</v>
      </c>
      <c r="W108" s="27">
        <f t="shared" si="62"/>
        <v>-10286.271000000001</v>
      </c>
      <c r="X108" s="27">
        <f t="shared" si="63"/>
        <v>-241355.71012500004</v>
      </c>
      <c r="Y108" s="27">
        <f t="shared" si="64"/>
        <v>241355.71012500004</v>
      </c>
    </row>
    <row r="109" spans="2:25">
      <c r="B109" s="22">
        <v>0.75</v>
      </c>
      <c r="C109" s="23">
        <f t="shared" si="70"/>
        <v>32.142857142857139</v>
      </c>
      <c r="D109" s="29">
        <f t="shared" si="65"/>
        <v>0.10107816711590295</v>
      </c>
      <c r="E109" s="36">
        <f t="shared" si="48"/>
        <v>-9.3333333333333343E-5</v>
      </c>
      <c r="F109" s="17">
        <f t="shared" si="66"/>
        <v>2.6680000000000006E-2</v>
      </c>
      <c r="G109" s="25">
        <f t="shared" si="67"/>
        <v>-1.5999999999999999E-3</v>
      </c>
      <c r="H109" s="25">
        <f t="shared" si="68"/>
        <v>5.8200000000000014E-3</v>
      </c>
      <c r="I109" s="25">
        <f t="shared" si="69"/>
        <v>1.7860000000000001E-2</v>
      </c>
      <c r="J109" s="16">
        <f t="shared" si="49"/>
        <v>2.5280000000000007E-2</v>
      </c>
      <c r="K109" s="26">
        <f t="shared" si="50"/>
        <v>-46.4</v>
      </c>
      <c r="L109" s="26">
        <f t="shared" si="51"/>
        <v>80</v>
      </c>
      <c r="M109" s="26">
        <f t="shared" si="52"/>
        <v>80</v>
      </c>
      <c r="N109" s="26">
        <f t="shared" si="53"/>
        <v>80</v>
      </c>
      <c r="O109" s="27">
        <f t="shared" si="54"/>
        <v>-1570.1760000000002</v>
      </c>
      <c r="P109" s="27">
        <f t="shared" si="55"/>
        <v>2476.8000000000002</v>
      </c>
      <c r="Q109" s="27">
        <f t="shared" si="56"/>
        <v>2476.8000000000002</v>
      </c>
      <c r="R109" s="27">
        <f t="shared" si="57"/>
        <v>2707.2000000000003</v>
      </c>
      <c r="S109" s="27">
        <f t="shared" si="58"/>
        <v>-18876.374999999996</v>
      </c>
      <c r="T109" s="27">
        <f t="shared" si="59"/>
        <v>-12785.750999999997</v>
      </c>
      <c r="U109" s="27">
        <f t="shared" si="60"/>
        <v>-283743.87918749993</v>
      </c>
      <c r="V109" s="16">
        <f t="shared" si="61"/>
        <v>0.9</v>
      </c>
      <c r="W109" s="27">
        <f t="shared" si="62"/>
        <v>-11507.175899999997</v>
      </c>
      <c r="X109" s="27">
        <f t="shared" si="63"/>
        <v>-255369.49126874993</v>
      </c>
      <c r="Y109" s="27">
        <f t="shared" si="64"/>
        <v>255369.49126874993</v>
      </c>
    </row>
    <row r="110" spans="2:25">
      <c r="B110" s="22">
        <v>0.8</v>
      </c>
      <c r="C110" s="23">
        <f t="shared" si="70"/>
        <v>34.285714285714292</v>
      </c>
      <c r="D110" s="29">
        <f t="shared" si="65"/>
        <v>0.10781671159029652</v>
      </c>
      <c r="E110" s="36">
        <f t="shared" si="48"/>
        <v>-8.7499999999999986E-5</v>
      </c>
      <c r="F110" s="17">
        <f t="shared" si="66"/>
        <v>2.4824999999999996E-2</v>
      </c>
      <c r="G110" s="25">
        <f t="shared" si="67"/>
        <v>-1.6875000000000002E-3</v>
      </c>
      <c r="H110" s="25">
        <f t="shared" si="68"/>
        <v>5.2687499999999983E-3</v>
      </c>
      <c r="I110" s="25">
        <f t="shared" si="69"/>
        <v>1.6556249999999998E-2</v>
      </c>
      <c r="J110" s="16">
        <f t="shared" si="49"/>
        <v>2.3512499999999995E-2</v>
      </c>
      <c r="K110" s="26">
        <f t="shared" si="50"/>
        <v>-48.937500000000007</v>
      </c>
      <c r="L110" s="26">
        <f t="shared" si="51"/>
        <v>80</v>
      </c>
      <c r="M110" s="26">
        <f t="shared" si="52"/>
        <v>80</v>
      </c>
      <c r="N110" s="26">
        <f t="shared" si="53"/>
        <v>80</v>
      </c>
      <c r="O110" s="27">
        <f t="shared" si="54"/>
        <v>-1656.0450000000003</v>
      </c>
      <c r="P110" s="27">
        <f t="shared" si="55"/>
        <v>2476.8000000000002</v>
      </c>
      <c r="Q110" s="27">
        <f t="shared" si="56"/>
        <v>2476.8000000000002</v>
      </c>
      <c r="R110" s="27">
        <f t="shared" si="57"/>
        <v>2707.2000000000003</v>
      </c>
      <c r="S110" s="27">
        <f t="shared" si="58"/>
        <v>-20134.800000000003</v>
      </c>
      <c r="T110" s="27">
        <f t="shared" si="59"/>
        <v>-14130.045000000002</v>
      </c>
      <c r="U110" s="27">
        <f t="shared" si="60"/>
        <v>-299010.24000000005</v>
      </c>
      <c r="V110" s="16">
        <f t="shared" si="61"/>
        <v>0.9</v>
      </c>
      <c r="W110" s="27">
        <f t="shared" si="62"/>
        <v>-12717.040500000003</v>
      </c>
      <c r="X110" s="27">
        <f t="shared" si="63"/>
        <v>-269109.21600000007</v>
      </c>
      <c r="Y110" s="27">
        <f t="shared" si="64"/>
        <v>269109.21600000007</v>
      </c>
    </row>
    <row r="111" spans="2:25">
      <c r="B111" s="22">
        <v>0.85</v>
      </c>
      <c r="C111" s="23">
        <f t="shared" si="70"/>
        <v>36.428571428571431</v>
      </c>
      <c r="D111" s="29">
        <f t="shared" si="65"/>
        <v>0.11455525606469004</v>
      </c>
      <c r="E111" s="36">
        <f t="shared" si="48"/>
        <v>-8.2352941176470581E-5</v>
      </c>
      <c r="F111" s="17">
        <f t="shared" si="66"/>
        <v>2.3188235294117645E-2</v>
      </c>
      <c r="G111" s="25">
        <f t="shared" si="67"/>
        <v>-1.7647058823529412E-3</v>
      </c>
      <c r="H111" s="25">
        <f t="shared" si="68"/>
        <v>4.7823529411764702E-3</v>
      </c>
      <c r="I111" s="25">
        <f t="shared" si="69"/>
        <v>1.5405882352941174E-2</v>
      </c>
      <c r="J111" s="16">
        <f t="shared" si="49"/>
        <v>2.1952941176470585E-2</v>
      </c>
      <c r="K111" s="26">
        <f t="shared" si="50"/>
        <v>-51.176470588235297</v>
      </c>
      <c r="L111" s="26">
        <f t="shared" si="51"/>
        <v>80</v>
      </c>
      <c r="M111" s="26">
        <f t="shared" si="52"/>
        <v>80</v>
      </c>
      <c r="N111" s="26">
        <f t="shared" si="53"/>
        <v>80</v>
      </c>
      <c r="O111" s="27">
        <f t="shared" si="54"/>
        <v>-1731.8117647058825</v>
      </c>
      <c r="P111" s="27">
        <f t="shared" si="55"/>
        <v>2476.8000000000002</v>
      </c>
      <c r="Q111" s="27">
        <f t="shared" si="56"/>
        <v>2476.8000000000002</v>
      </c>
      <c r="R111" s="27">
        <f t="shared" si="57"/>
        <v>2707.2000000000003</v>
      </c>
      <c r="S111" s="27">
        <f t="shared" si="58"/>
        <v>-21393.225000000002</v>
      </c>
      <c r="T111" s="27">
        <f t="shared" si="59"/>
        <v>-15464.236764705884</v>
      </c>
      <c r="U111" s="27">
        <f t="shared" si="60"/>
        <v>-313998.07086397061</v>
      </c>
      <c r="V111" s="16">
        <f t="shared" si="61"/>
        <v>0.9</v>
      </c>
      <c r="W111" s="27">
        <f t="shared" si="62"/>
        <v>-13917.813088235296</v>
      </c>
      <c r="X111" s="27">
        <f t="shared" si="63"/>
        <v>-282598.26377757353</v>
      </c>
      <c r="Y111" s="27">
        <f t="shared" si="64"/>
        <v>282598.26377757353</v>
      </c>
    </row>
    <row r="112" spans="2:25">
      <c r="B112" s="22">
        <v>0.9</v>
      </c>
      <c r="C112" s="23">
        <f t="shared" si="70"/>
        <v>38.571428571428577</v>
      </c>
      <c r="D112" s="29">
        <f t="shared" si="65"/>
        <v>0.12129380053908358</v>
      </c>
      <c r="E112" s="36">
        <f t="shared" si="48"/>
        <v>-7.7777777777777768E-5</v>
      </c>
      <c r="F112" s="17">
        <f t="shared" si="66"/>
        <v>2.173333333333333E-2</v>
      </c>
      <c r="G112" s="25">
        <f t="shared" si="67"/>
        <v>-1.8333333333333335E-3</v>
      </c>
      <c r="H112" s="25">
        <f t="shared" si="68"/>
        <v>4.3499999999999988E-3</v>
      </c>
      <c r="I112" s="25">
        <f t="shared" si="69"/>
        <v>1.4383333333333331E-2</v>
      </c>
      <c r="J112" s="16">
        <f t="shared" si="49"/>
        <v>2.0566666666666664E-2</v>
      </c>
      <c r="K112" s="26">
        <f t="shared" si="50"/>
        <v>-53.166666666666671</v>
      </c>
      <c r="L112" s="26">
        <f t="shared" si="51"/>
        <v>80</v>
      </c>
      <c r="M112" s="26">
        <f t="shared" si="52"/>
        <v>80</v>
      </c>
      <c r="N112" s="26">
        <f t="shared" si="53"/>
        <v>80</v>
      </c>
      <c r="O112" s="27">
        <f t="shared" si="54"/>
        <v>-1799.1600000000003</v>
      </c>
      <c r="P112" s="27">
        <f t="shared" si="55"/>
        <v>2476.8000000000002</v>
      </c>
      <c r="Q112" s="27">
        <f t="shared" si="56"/>
        <v>2476.8000000000002</v>
      </c>
      <c r="R112" s="27">
        <f t="shared" si="57"/>
        <v>2707.2000000000003</v>
      </c>
      <c r="S112" s="27">
        <f t="shared" si="58"/>
        <v>-22651.650000000005</v>
      </c>
      <c r="T112" s="27">
        <f t="shared" si="59"/>
        <v>-16790.010000000006</v>
      </c>
      <c r="U112" s="27">
        <f t="shared" si="60"/>
        <v>-328727.5762500001</v>
      </c>
      <c r="V112" s="16">
        <f t="shared" si="61"/>
        <v>0.9</v>
      </c>
      <c r="W112" s="27">
        <f t="shared" si="62"/>
        <v>-15111.009000000005</v>
      </c>
      <c r="X112" s="27">
        <f t="shared" si="63"/>
        <v>-295854.81862500007</v>
      </c>
      <c r="Y112" s="27">
        <f t="shared" si="64"/>
        <v>295854.81862500007</v>
      </c>
    </row>
    <row r="114" spans="1:25">
      <c r="B114" s="11" t="s">
        <v>7</v>
      </c>
      <c r="D114" s="33">
        <v>0.01</v>
      </c>
    </row>
    <row r="115" spans="1:25">
      <c r="B115" s="9" t="s">
        <v>8</v>
      </c>
      <c r="C115" s="9" t="s">
        <v>15</v>
      </c>
      <c r="D115" s="26">
        <f>D114*(D10*D12)</f>
        <v>42.300000000000004</v>
      </c>
    </row>
    <row r="116" spans="1:25">
      <c r="B116" s="9" t="s">
        <v>9</v>
      </c>
      <c r="C116" s="9" t="s">
        <v>15</v>
      </c>
      <c r="D116" s="26">
        <f>D114*(D11-(2*D12))/2*D13</f>
        <v>38.700000000000003</v>
      </c>
    </row>
    <row r="117" spans="1:25">
      <c r="B117" s="9" t="s">
        <v>10</v>
      </c>
      <c r="C117" s="9" t="s">
        <v>15</v>
      </c>
      <c r="D117" s="26">
        <f>D116</f>
        <v>38.700000000000003</v>
      </c>
    </row>
    <row r="118" spans="1:25">
      <c r="B118" s="9" t="s">
        <v>59</v>
      </c>
      <c r="C118" s="9" t="s">
        <v>15</v>
      </c>
      <c r="D118" s="26">
        <f>D115</f>
        <v>42.300000000000004</v>
      </c>
    </row>
    <row r="119" spans="1:25">
      <c r="B119" s="18" t="s">
        <v>61</v>
      </c>
      <c r="C119" s="18" t="s">
        <v>37</v>
      </c>
      <c r="D119" s="18" t="s">
        <v>60</v>
      </c>
      <c r="E119" s="19" t="s">
        <v>19</v>
      </c>
      <c r="F119" s="19" t="s">
        <v>20</v>
      </c>
      <c r="G119" s="19" t="s">
        <v>21</v>
      </c>
      <c r="H119" s="19" t="s">
        <v>22</v>
      </c>
      <c r="I119" s="19" t="s">
        <v>23</v>
      </c>
      <c r="J119" s="19" t="s">
        <v>51</v>
      </c>
      <c r="K119" s="19" t="s">
        <v>24</v>
      </c>
      <c r="L119" s="19" t="s">
        <v>25</v>
      </c>
      <c r="M119" s="19" t="s">
        <v>26</v>
      </c>
      <c r="N119" s="19" t="s">
        <v>52</v>
      </c>
      <c r="O119" s="19" t="s">
        <v>27</v>
      </c>
      <c r="P119" s="19" t="s">
        <v>28</v>
      </c>
      <c r="Q119" s="19" t="s">
        <v>29</v>
      </c>
      <c r="R119" s="19" t="s">
        <v>53</v>
      </c>
      <c r="S119" s="19" t="s">
        <v>30</v>
      </c>
      <c r="T119" s="19" t="s">
        <v>31</v>
      </c>
      <c r="U119" s="19" t="s">
        <v>32</v>
      </c>
      <c r="V119" s="19" t="s">
        <v>33</v>
      </c>
      <c r="W119" s="19" t="s">
        <v>34</v>
      </c>
      <c r="X119" s="19" t="s">
        <v>35</v>
      </c>
    </row>
    <row r="120" spans="1:25">
      <c r="B120" s="20"/>
      <c r="C120" s="21" t="s">
        <v>14</v>
      </c>
      <c r="D120" s="21"/>
      <c r="E120" s="21" t="s">
        <v>39</v>
      </c>
      <c r="F120" s="20"/>
      <c r="G120" s="20"/>
      <c r="H120" s="19"/>
      <c r="I120" s="19"/>
      <c r="J120" s="19"/>
      <c r="K120" s="21" t="s">
        <v>13</v>
      </c>
      <c r="L120" s="21" t="s">
        <v>13</v>
      </c>
      <c r="M120" s="21" t="s">
        <v>13</v>
      </c>
      <c r="N120" s="21"/>
      <c r="O120" s="21" t="s">
        <v>41</v>
      </c>
      <c r="P120" s="21" t="s">
        <v>41</v>
      </c>
      <c r="Q120" s="21" t="s">
        <v>41</v>
      </c>
      <c r="R120" s="21"/>
      <c r="S120" s="21" t="s">
        <v>41</v>
      </c>
      <c r="T120" s="21" t="s">
        <v>41</v>
      </c>
      <c r="U120" s="21" t="s">
        <v>42</v>
      </c>
      <c r="V120" s="21"/>
      <c r="W120" s="21" t="s">
        <v>41</v>
      </c>
      <c r="X120" s="21" t="s">
        <v>42</v>
      </c>
    </row>
    <row r="121" spans="1:25">
      <c r="A121" s="15" t="s">
        <v>36</v>
      </c>
      <c r="B121" s="22"/>
      <c r="C121" s="23"/>
      <c r="D121" s="23"/>
      <c r="E121" s="24"/>
      <c r="F121" s="17"/>
      <c r="G121" s="25"/>
      <c r="H121" s="25"/>
      <c r="I121" s="25"/>
      <c r="J121" s="25"/>
      <c r="K121" s="26"/>
      <c r="L121" s="26"/>
      <c r="M121" s="26"/>
      <c r="N121" s="26"/>
      <c r="O121" s="27"/>
      <c r="P121" s="27"/>
      <c r="Q121" s="27"/>
      <c r="R121" s="27"/>
      <c r="S121" s="27"/>
      <c r="T121" s="27"/>
      <c r="U121" s="27"/>
      <c r="V121" s="16"/>
      <c r="W121" s="27"/>
      <c r="X121" s="27"/>
    </row>
    <row r="122" spans="1:25">
      <c r="B122" s="22">
        <v>1.0000000000000001E-5</v>
      </c>
      <c r="C122" s="28">
        <f t="shared" ref="C122" si="71">B122/$D$15*$D$13</f>
        <v>4.285714285714286E-4</v>
      </c>
      <c r="D122" s="29">
        <f>C122/$D$10</f>
        <v>3.0395136778115506E-6</v>
      </c>
      <c r="E122" s="36">
        <f t="shared" ref="E122:E140" si="72">-0.003/C122</f>
        <v>-7</v>
      </c>
      <c r="F122" s="17">
        <f>E122*(C122-$D$11)</f>
        <v>2225.9969999999998</v>
      </c>
      <c r="G122" s="25">
        <f>E122*(C122-($D$20))</f>
        <v>104.997</v>
      </c>
      <c r="H122" s="25">
        <f>E122*(C122-($D$21))</f>
        <v>661.49699999999996</v>
      </c>
      <c r="I122" s="17">
        <f>E122*(C122-($D$22))</f>
        <v>1564.4970000000001</v>
      </c>
      <c r="J122" s="16">
        <f>E122*(C122-$D$23)</f>
        <v>2120.9969999999998</v>
      </c>
      <c r="K122" s="26">
        <f>SIGN(G122)*MIN($D$8*ABS(G122),$D$7)</f>
        <v>80</v>
      </c>
      <c r="L122" s="26">
        <f>SIGN(H122)*MIN($D$8*ABS(H122),$D$7)</f>
        <v>80</v>
      </c>
      <c r="M122" s="26">
        <f>SIGN(I122)*MIN($D$8*ABS(I122),$D$7)</f>
        <v>80</v>
      </c>
      <c r="N122" s="26">
        <f>SIGN(J122)*MIN($D$8*ABS(J122),$D$7)</f>
        <v>80</v>
      </c>
      <c r="O122" s="27">
        <f>$D$115*K122</f>
        <v>3384.0000000000005</v>
      </c>
      <c r="P122" s="27">
        <f>$D$116*L122</f>
        <v>3096</v>
      </c>
      <c r="Q122" s="27">
        <f>$D$117*M122</f>
        <v>3096</v>
      </c>
      <c r="R122" s="27">
        <f>N122*$D$118</f>
        <v>3384.0000000000005</v>
      </c>
      <c r="S122" s="27">
        <f>$D$15*C122*$D$10*(-0.85*$D$6)</f>
        <v>-0.25168500000000005</v>
      </c>
      <c r="T122" s="27">
        <f>SUM(O122:S122)</f>
        <v>12959.748315000001</v>
      </c>
      <c r="U122" s="27">
        <f>(S122*($D$18-$D$15*C122/2)+O122*($D$18-$D$20)+(P122*($D$18-$D$21))+(Q122*($D$18-$D$22))+R122*($D$18-$D$23))/12</f>
        <v>-3.3348231039368934</v>
      </c>
      <c r="V122" s="16">
        <f>MAX(0.65,MIN(0.9,0.65+(F122-0.002)*250/3))</f>
        <v>0.9</v>
      </c>
      <c r="W122" s="27">
        <f>V122*T122</f>
        <v>11663.773483500001</v>
      </c>
      <c r="X122" s="27">
        <f>V122*U122</f>
        <v>-3.0013407935432039</v>
      </c>
      <c r="Y122" s="27">
        <f>-X122</f>
        <v>3.0013407935432039</v>
      </c>
    </row>
    <row r="123" spans="1:25">
      <c r="B123" s="22">
        <v>0.05</v>
      </c>
      <c r="C123" s="23">
        <f>B123/$D$15*$D$13</f>
        <v>2.1428571428571432</v>
      </c>
      <c r="D123" s="29">
        <f>C123/$D$11</f>
        <v>6.7385444743935322E-3</v>
      </c>
      <c r="E123" s="36">
        <f t="shared" si="72"/>
        <v>-1.3999999999999998E-3</v>
      </c>
      <c r="F123" s="17">
        <f>E123*(C123-$D$11)</f>
        <v>0.44219999999999987</v>
      </c>
      <c r="G123" s="25">
        <f>E123*(C123-($D$20))</f>
        <v>1.7999999999999999E-2</v>
      </c>
      <c r="H123" s="25">
        <f>E123*(C123-($D$21))</f>
        <v>0.12929999999999997</v>
      </c>
      <c r="I123" s="25">
        <f>E123*(C123-($D$22))</f>
        <v>0.30989999999999995</v>
      </c>
      <c r="J123" s="16">
        <f t="shared" ref="J123:J140" si="73">E123*(C123-$D$23)</f>
        <v>0.42119999999999991</v>
      </c>
      <c r="K123" s="26">
        <f t="shared" ref="K123:K140" si="74">SIGN(G123)*MIN($D$8*ABS(G123),$D$7)</f>
        <v>80</v>
      </c>
      <c r="L123" s="26">
        <f t="shared" ref="L123:L140" si="75">SIGN(H123)*MIN($D$8*ABS(H123),$D$7)</f>
        <v>80</v>
      </c>
      <c r="M123" s="26">
        <f t="shared" ref="M123:M140" si="76">SIGN(I123)*MIN($D$8*ABS(I123),$D$7)</f>
        <v>80</v>
      </c>
      <c r="N123" s="26">
        <f t="shared" ref="N123:N140" si="77">SIGN(J123)*MIN($D$8*ABS(J123),$D$7)</f>
        <v>80</v>
      </c>
      <c r="O123" s="27">
        <f t="shared" ref="O123:O140" si="78">$D$115*K123</f>
        <v>3384.0000000000005</v>
      </c>
      <c r="P123" s="27">
        <f t="shared" ref="P123:P140" si="79">$D$116*L123</f>
        <v>3096</v>
      </c>
      <c r="Q123" s="27">
        <f t="shared" ref="Q123:Q140" si="80">$D$117*M123</f>
        <v>3096</v>
      </c>
      <c r="R123" s="27">
        <f t="shared" ref="R123:R140" si="81">N123*$D$118</f>
        <v>3384.0000000000005</v>
      </c>
      <c r="S123" s="27">
        <f t="shared" ref="S123:S140" si="82">$D$15*C123*$D$10*(-0.85*$D$6)</f>
        <v>-1258.4250000000002</v>
      </c>
      <c r="T123" s="27">
        <f t="shared" ref="T123:T140" si="83">SUM(O123:S123)</f>
        <v>11701.575000000001</v>
      </c>
      <c r="U123" s="27">
        <f t="shared" ref="U123:U140" si="84">(S123*($D$18-$D$15*C123/2)+O123*($D$18-$D$20)+(P123*($D$18-$D$21))+(Q123*($D$18-$D$22))+R123*($D$18-$D$23))/12</f>
        <v>-16595.479687500003</v>
      </c>
      <c r="V123" s="16">
        <f t="shared" ref="V123:V140" si="85">MAX(0.65,MIN(0.9,0.65+(F123-0.002)*250/3))</f>
        <v>0.9</v>
      </c>
      <c r="W123" s="27">
        <f t="shared" ref="W123:W140" si="86">V123*T123</f>
        <v>10531.417500000001</v>
      </c>
      <c r="X123" s="27">
        <f t="shared" ref="X123:X140" si="87">V123*U123</f>
        <v>-14935.931718750004</v>
      </c>
      <c r="Y123" s="27">
        <f t="shared" ref="Y123:Y140" si="88">-X123</f>
        <v>14935.931718750004</v>
      </c>
    </row>
    <row r="124" spans="1:25">
      <c r="B124" s="22">
        <v>0.1</v>
      </c>
      <c r="C124" s="23">
        <f>B124/$D$15*$D$13</f>
        <v>4.2857142857142865</v>
      </c>
      <c r="D124" s="29">
        <f t="shared" ref="D124:D140" si="89">C124/$D$11</f>
        <v>1.3477088948787064E-2</v>
      </c>
      <c r="E124" s="36">
        <f t="shared" si="72"/>
        <v>-6.9999999999999988E-4</v>
      </c>
      <c r="F124" s="17">
        <f t="shared" ref="F124:F140" si="90">E124*(C124-$D$11)</f>
        <v>0.21959999999999996</v>
      </c>
      <c r="G124" s="25">
        <f t="shared" ref="G124:G140" si="91">E124*(C124-($D$20))</f>
        <v>7.499999999999998E-3</v>
      </c>
      <c r="H124" s="25">
        <f t="shared" ref="H124:H140" si="92">E124*(C124-($D$21))</f>
        <v>6.3149999999999984E-2</v>
      </c>
      <c r="I124" s="25">
        <f t="shared" ref="I124:I140" si="93">E124*(C124-($D$22))</f>
        <v>0.15344999999999998</v>
      </c>
      <c r="J124" s="16">
        <f t="shared" si="73"/>
        <v>0.20909999999999998</v>
      </c>
      <c r="K124" s="26">
        <f t="shared" si="74"/>
        <v>80</v>
      </c>
      <c r="L124" s="26">
        <f t="shared" si="75"/>
        <v>80</v>
      </c>
      <c r="M124" s="26">
        <f t="shared" si="76"/>
        <v>80</v>
      </c>
      <c r="N124" s="26">
        <f t="shared" si="77"/>
        <v>80</v>
      </c>
      <c r="O124" s="27">
        <f t="shared" si="78"/>
        <v>3384.0000000000005</v>
      </c>
      <c r="P124" s="27">
        <f t="shared" si="79"/>
        <v>3096</v>
      </c>
      <c r="Q124" s="27">
        <f t="shared" si="80"/>
        <v>3096</v>
      </c>
      <c r="R124" s="27">
        <f t="shared" si="81"/>
        <v>3384.0000000000005</v>
      </c>
      <c r="S124" s="27">
        <f t="shared" si="82"/>
        <v>-2516.8500000000004</v>
      </c>
      <c r="T124" s="27">
        <f t="shared" si="83"/>
        <v>10443.15</v>
      </c>
      <c r="U124" s="27">
        <f t="shared" si="84"/>
        <v>-33033.656250000007</v>
      </c>
      <c r="V124" s="16">
        <f t="shared" si="85"/>
        <v>0.9</v>
      </c>
      <c r="W124" s="27">
        <f t="shared" si="86"/>
        <v>9398.8349999999991</v>
      </c>
      <c r="X124" s="27">
        <f t="shared" si="87"/>
        <v>-29730.290625000009</v>
      </c>
      <c r="Y124" s="27">
        <f t="shared" si="88"/>
        <v>29730.290625000009</v>
      </c>
    </row>
    <row r="125" spans="1:25">
      <c r="B125" s="22">
        <v>0.15</v>
      </c>
      <c r="C125" s="23">
        <f>B125/$D$15*$D$13</f>
        <v>6.4285714285714288</v>
      </c>
      <c r="D125" s="29">
        <f t="shared" si="89"/>
        <v>2.0215633423180595E-2</v>
      </c>
      <c r="E125" s="36">
        <f t="shared" si="72"/>
        <v>-4.6666666666666666E-4</v>
      </c>
      <c r="F125" s="17">
        <f t="shared" si="90"/>
        <v>0.1454</v>
      </c>
      <c r="G125" s="25">
        <f t="shared" si="91"/>
        <v>4.0000000000000001E-3</v>
      </c>
      <c r="H125" s="25">
        <f t="shared" si="92"/>
        <v>4.1099999999999998E-2</v>
      </c>
      <c r="I125" s="25">
        <f t="shared" si="93"/>
        <v>0.1013</v>
      </c>
      <c r="J125" s="16">
        <f t="shared" si="73"/>
        <v>0.1384</v>
      </c>
      <c r="K125" s="26">
        <f t="shared" si="74"/>
        <v>80</v>
      </c>
      <c r="L125" s="26">
        <f t="shared" si="75"/>
        <v>80</v>
      </c>
      <c r="M125" s="26">
        <f t="shared" si="76"/>
        <v>80</v>
      </c>
      <c r="N125" s="26">
        <f t="shared" si="77"/>
        <v>80</v>
      </c>
      <c r="O125" s="27">
        <f t="shared" si="78"/>
        <v>3384.0000000000005</v>
      </c>
      <c r="P125" s="27">
        <f t="shared" si="79"/>
        <v>3096</v>
      </c>
      <c r="Q125" s="27">
        <f t="shared" si="80"/>
        <v>3096</v>
      </c>
      <c r="R125" s="27">
        <f t="shared" si="81"/>
        <v>3384.0000000000005</v>
      </c>
      <c r="S125" s="27">
        <f t="shared" si="82"/>
        <v>-3775.2750000000001</v>
      </c>
      <c r="T125" s="27">
        <f t="shared" si="83"/>
        <v>9184.7250000000004</v>
      </c>
      <c r="U125" s="27">
        <f t="shared" si="84"/>
        <v>-49314.529687500006</v>
      </c>
      <c r="V125" s="16">
        <f t="shared" si="85"/>
        <v>0.9</v>
      </c>
      <c r="W125" s="27">
        <f t="shared" si="86"/>
        <v>8266.2525000000005</v>
      </c>
      <c r="X125" s="27">
        <f t="shared" si="87"/>
        <v>-44383.07671875001</v>
      </c>
      <c r="Y125" s="27">
        <f t="shared" si="88"/>
        <v>44383.07671875001</v>
      </c>
    </row>
    <row r="126" spans="1:25">
      <c r="B126" s="22">
        <v>0.2</v>
      </c>
      <c r="C126" s="23">
        <f>B126/$D$15*$D$13</f>
        <v>8.571428571428573</v>
      </c>
      <c r="D126" s="29">
        <f t="shared" si="89"/>
        <v>2.6954177897574129E-2</v>
      </c>
      <c r="E126" s="36">
        <f t="shared" si="72"/>
        <v>-3.4999999999999994E-4</v>
      </c>
      <c r="F126" s="17">
        <f t="shared" si="90"/>
        <v>0.10829999999999999</v>
      </c>
      <c r="G126" s="25">
        <f t="shared" si="91"/>
        <v>2.249999999999999E-3</v>
      </c>
      <c r="H126" s="25">
        <f t="shared" si="92"/>
        <v>3.0074999999999994E-2</v>
      </c>
      <c r="I126" s="25">
        <f t="shared" si="93"/>
        <v>7.5224999999999986E-2</v>
      </c>
      <c r="J126" s="16">
        <f t="shared" si="73"/>
        <v>0.10304999999999999</v>
      </c>
      <c r="K126" s="26">
        <f t="shared" si="74"/>
        <v>65.249999999999972</v>
      </c>
      <c r="L126" s="26">
        <f t="shared" si="75"/>
        <v>80</v>
      </c>
      <c r="M126" s="26">
        <f t="shared" si="76"/>
        <v>80</v>
      </c>
      <c r="N126" s="26">
        <f t="shared" si="77"/>
        <v>80</v>
      </c>
      <c r="O126" s="27">
        <f t="shared" si="78"/>
        <v>2760.0749999999989</v>
      </c>
      <c r="P126" s="27">
        <f t="shared" si="79"/>
        <v>3096</v>
      </c>
      <c r="Q126" s="27">
        <f t="shared" si="80"/>
        <v>3096</v>
      </c>
      <c r="R126" s="27">
        <f t="shared" si="81"/>
        <v>3384.0000000000005</v>
      </c>
      <c r="S126" s="27">
        <f t="shared" si="82"/>
        <v>-5033.7000000000007</v>
      </c>
      <c r="T126" s="27">
        <f t="shared" si="83"/>
        <v>7302.3749999999982</v>
      </c>
      <c r="U126" s="27">
        <f t="shared" si="84"/>
        <v>-72925.200000000026</v>
      </c>
      <c r="V126" s="16">
        <f t="shared" si="85"/>
        <v>0.9</v>
      </c>
      <c r="W126" s="27">
        <f t="shared" si="86"/>
        <v>6572.1374999999989</v>
      </c>
      <c r="X126" s="27">
        <f t="shared" si="87"/>
        <v>-65632.680000000022</v>
      </c>
      <c r="Y126" s="27">
        <f t="shared" si="88"/>
        <v>65632.680000000022</v>
      </c>
    </row>
    <row r="127" spans="1:25">
      <c r="B127" s="22">
        <v>0.25</v>
      </c>
      <c r="C127" s="23">
        <f>B127/$D$15*$D$13</f>
        <v>10.714285714285715</v>
      </c>
      <c r="D127" s="29">
        <f t="shared" si="89"/>
        <v>3.3692722371967659E-2</v>
      </c>
      <c r="E127" s="36">
        <f t="shared" si="72"/>
        <v>-2.7999999999999998E-4</v>
      </c>
      <c r="F127" s="17">
        <f t="shared" si="90"/>
        <v>8.6039999999999991E-2</v>
      </c>
      <c r="G127" s="25">
        <f t="shared" si="91"/>
        <v>1.1999999999999997E-3</v>
      </c>
      <c r="H127" s="25">
        <f t="shared" si="92"/>
        <v>2.3459999999999995E-2</v>
      </c>
      <c r="I127" s="25">
        <f t="shared" si="93"/>
        <v>5.9579999999999994E-2</v>
      </c>
      <c r="J127" s="16">
        <f t="shared" si="73"/>
        <v>8.1839999999999996E-2</v>
      </c>
      <c r="K127" s="26">
        <f t="shared" si="74"/>
        <v>34.79999999999999</v>
      </c>
      <c r="L127" s="26">
        <f t="shared" si="75"/>
        <v>80</v>
      </c>
      <c r="M127" s="26">
        <f t="shared" si="76"/>
        <v>80</v>
      </c>
      <c r="N127" s="26">
        <f t="shared" si="77"/>
        <v>80</v>
      </c>
      <c r="O127" s="27">
        <f t="shared" si="78"/>
        <v>1472.0399999999997</v>
      </c>
      <c r="P127" s="27">
        <f t="shared" si="79"/>
        <v>3096</v>
      </c>
      <c r="Q127" s="27">
        <f t="shared" si="80"/>
        <v>3096</v>
      </c>
      <c r="R127" s="27">
        <f t="shared" si="81"/>
        <v>3384.0000000000005</v>
      </c>
      <c r="S127" s="27">
        <f t="shared" si="82"/>
        <v>-6292.125</v>
      </c>
      <c r="T127" s="27">
        <f t="shared" si="83"/>
        <v>4755.9150000000009</v>
      </c>
      <c r="U127" s="27">
        <f t="shared" si="84"/>
        <v>-104347.8871875</v>
      </c>
      <c r="V127" s="16">
        <f t="shared" si="85"/>
        <v>0.9</v>
      </c>
      <c r="W127" s="27">
        <f t="shared" si="86"/>
        <v>4280.3235000000013</v>
      </c>
      <c r="X127" s="27">
        <f t="shared" si="87"/>
        <v>-93913.098468750002</v>
      </c>
      <c r="Y127" s="27">
        <f t="shared" si="88"/>
        <v>93913.098468750002</v>
      </c>
    </row>
    <row r="128" spans="1:25">
      <c r="B128" s="22">
        <v>0.3</v>
      </c>
      <c r="C128" s="23">
        <f t="shared" ref="C128:C140" si="94">B128/$D$15*$D$13</f>
        <v>12.857142857142858</v>
      </c>
      <c r="D128" s="29">
        <f t="shared" si="89"/>
        <v>4.043126684636119E-2</v>
      </c>
      <c r="E128" s="36">
        <f t="shared" si="72"/>
        <v>-2.3333333333333333E-4</v>
      </c>
      <c r="F128" s="17">
        <f t="shared" si="90"/>
        <v>7.1199999999999999E-2</v>
      </c>
      <c r="G128" s="25">
        <f t="shared" si="91"/>
        <v>4.999999999999999E-4</v>
      </c>
      <c r="H128" s="25">
        <f t="shared" si="92"/>
        <v>1.9049999999999997E-2</v>
      </c>
      <c r="I128" s="25">
        <f t="shared" si="93"/>
        <v>4.9149999999999999E-2</v>
      </c>
      <c r="J128" s="16">
        <f t="shared" si="73"/>
        <v>6.770000000000001E-2</v>
      </c>
      <c r="K128" s="26">
        <f t="shared" si="74"/>
        <v>14.499999999999996</v>
      </c>
      <c r="L128" s="26">
        <f t="shared" si="75"/>
        <v>80</v>
      </c>
      <c r="M128" s="26">
        <f t="shared" si="76"/>
        <v>80</v>
      </c>
      <c r="N128" s="26">
        <f t="shared" si="77"/>
        <v>80</v>
      </c>
      <c r="O128" s="27">
        <f t="shared" si="78"/>
        <v>613.34999999999991</v>
      </c>
      <c r="P128" s="27">
        <f t="shared" si="79"/>
        <v>3096</v>
      </c>
      <c r="Q128" s="27">
        <f t="shared" si="80"/>
        <v>3096</v>
      </c>
      <c r="R128" s="27">
        <f t="shared" si="81"/>
        <v>3384.0000000000005</v>
      </c>
      <c r="S128" s="27">
        <f t="shared" si="82"/>
        <v>-7550.55</v>
      </c>
      <c r="T128" s="27">
        <f t="shared" si="83"/>
        <v>2638.8</v>
      </c>
      <c r="U128" s="27">
        <f t="shared" si="84"/>
        <v>-130461.13125000002</v>
      </c>
      <c r="V128" s="16">
        <f t="shared" si="85"/>
        <v>0.9</v>
      </c>
      <c r="W128" s="27">
        <f t="shared" si="86"/>
        <v>2374.92</v>
      </c>
      <c r="X128" s="27">
        <f t="shared" si="87"/>
        <v>-117415.01812500002</v>
      </c>
      <c r="Y128" s="27">
        <f t="shared" si="88"/>
        <v>117415.01812500002</v>
      </c>
    </row>
    <row r="129" spans="2:25">
      <c r="B129" s="22">
        <v>0.35</v>
      </c>
      <c r="C129" s="23">
        <f t="shared" si="94"/>
        <v>15</v>
      </c>
      <c r="D129" s="29">
        <f t="shared" si="89"/>
        <v>4.716981132075472E-2</v>
      </c>
      <c r="E129" s="36">
        <f t="shared" si="72"/>
        <v>-2.0000000000000001E-4</v>
      </c>
      <c r="F129" s="17">
        <f t="shared" si="90"/>
        <v>6.0600000000000001E-2</v>
      </c>
      <c r="G129" s="25">
        <f t="shared" si="91"/>
        <v>0</v>
      </c>
      <c r="H129" s="25">
        <f t="shared" si="92"/>
        <v>1.5900000000000001E-2</v>
      </c>
      <c r="I129" s="25">
        <f t="shared" si="93"/>
        <v>4.1700000000000001E-2</v>
      </c>
      <c r="J129" s="16">
        <f t="shared" si="73"/>
        <v>5.7600000000000005E-2</v>
      </c>
      <c r="K129" s="26">
        <f t="shared" si="74"/>
        <v>0</v>
      </c>
      <c r="L129" s="26">
        <f t="shared" si="75"/>
        <v>80</v>
      </c>
      <c r="M129" s="26">
        <f t="shared" si="76"/>
        <v>80</v>
      </c>
      <c r="N129" s="26">
        <f t="shared" si="77"/>
        <v>80</v>
      </c>
      <c r="O129" s="27">
        <f t="shared" si="78"/>
        <v>0</v>
      </c>
      <c r="P129" s="27">
        <f t="shared" si="79"/>
        <v>3096</v>
      </c>
      <c r="Q129" s="27">
        <f t="shared" si="80"/>
        <v>3096</v>
      </c>
      <c r="R129" s="27">
        <f t="shared" si="81"/>
        <v>3384.0000000000005</v>
      </c>
      <c r="S129" s="27">
        <f t="shared" si="82"/>
        <v>-8808.9750000000004</v>
      </c>
      <c r="T129" s="27">
        <f t="shared" si="83"/>
        <v>767.02499999999964</v>
      </c>
      <c r="U129" s="27">
        <f t="shared" si="84"/>
        <v>-153472.9921875</v>
      </c>
      <c r="V129" s="16">
        <f t="shared" si="85"/>
        <v>0.9</v>
      </c>
      <c r="W129" s="27">
        <f t="shared" si="86"/>
        <v>690.32249999999965</v>
      </c>
      <c r="X129" s="27">
        <f t="shared" si="87"/>
        <v>-138125.69296874999</v>
      </c>
      <c r="Y129" s="27">
        <f t="shared" si="88"/>
        <v>138125.69296874999</v>
      </c>
    </row>
    <row r="130" spans="2:25">
      <c r="B130" s="22">
        <v>0.4</v>
      </c>
      <c r="C130" s="23">
        <f t="shared" si="94"/>
        <v>17.142857142857146</v>
      </c>
      <c r="D130" s="29">
        <f t="shared" si="89"/>
        <v>5.3908355795148258E-2</v>
      </c>
      <c r="E130" s="36">
        <f t="shared" si="72"/>
        <v>-1.7499999999999997E-4</v>
      </c>
      <c r="F130" s="17">
        <f t="shared" si="90"/>
        <v>5.2649999999999988E-2</v>
      </c>
      <c r="G130" s="25">
        <f t="shared" si="91"/>
        <v>-3.750000000000005E-4</v>
      </c>
      <c r="H130" s="25">
        <f t="shared" si="92"/>
        <v>1.3537499999999999E-2</v>
      </c>
      <c r="I130" s="25">
        <f t="shared" si="93"/>
        <v>3.6112499999999992E-2</v>
      </c>
      <c r="J130" s="16">
        <f t="shared" si="73"/>
        <v>5.0024999999999986E-2</v>
      </c>
      <c r="K130" s="26">
        <f t="shared" si="74"/>
        <v>-10.875000000000014</v>
      </c>
      <c r="L130" s="26">
        <f t="shared" si="75"/>
        <v>80</v>
      </c>
      <c r="M130" s="26">
        <f t="shared" si="76"/>
        <v>80</v>
      </c>
      <c r="N130" s="26">
        <f t="shared" si="77"/>
        <v>80</v>
      </c>
      <c r="O130" s="27">
        <f t="shared" si="78"/>
        <v>-460.01250000000067</v>
      </c>
      <c r="P130" s="27">
        <f t="shared" si="79"/>
        <v>3096</v>
      </c>
      <c r="Q130" s="27">
        <f t="shared" si="80"/>
        <v>3096</v>
      </c>
      <c r="R130" s="27">
        <f t="shared" si="81"/>
        <v>3384.0000000000005</v>
      </c>
      <c r="S130" s="27">
        <f t="shared" si="82"/>
        <v>-10067.400000000001</v>
      </c>
      <c r="T130" s="27">
        <f t="shared" si="83"/>
        <v>-951.41250000000218</v>
      </c>
      <c r="U130" s="27">
        <f t="shared" si="84"/>
        <v>-174487.50000000003</v>
      </c>
      <c r="V130" s="16">
        <f t="shared" si="85"/>
        <v>0.9</v>
      </c>
      <c r="W130" s="27">
        <f t="shared" si="86"/>
        <v>-856.27125000000194</v>
      </c>
      <c r="X130" s="27">
        <f t="shared" si="87"/>
        <v>-157038.75000000003</v>
      </c>
      <c r="Y130" s="27">
        <f t="shared" si="88"/>
        <v>157038.75000000003</v>
      </c>
    </row>
    <row r="131" spans="2:25">
      <c r="B131" s="22">
        <v>0.45</v>
      </c>
      <c r="C131" s="23">
        <f t="shared" si="94"/>
        <v>19.285714285714288</v>
      </c>
      <c r="D131" s="29">
        <f t="shared" si="89"/>
        <v>6.0646900269541788E-2</v>
      </c>
      <c r="E131" s="36">
        <f t="shared" si="72"/>
        <v>-1.5555555555555554E-4</v>
      </c>
      <c r="F131" s="17">
        <f t="shared" si="90"/>
        <v>4.6466666666666663E-2</v>
      </c>
      <c r="G131" s="25">
        <f t="shared" si="91"/>
        <v>-6.6666666666666697E-4</v>
      </c>
      <c r="H131" s="25">
        <f t="shared" si="92"/>
        <v>1.1699999999999997E-2</v>
      </c>
      <c r="I131" s="25">
        <f t="shared" si="93"/>
        <v>3.1766666666666665E-2</v>
      </c>
      <c r="J131" s="16">
        <f t="shared" si="73"/>
        <v>4.413333333333333E-2</v>
      </c>
      <c r="K131" s="26">
        <f t="shared" si="74"/>
        <v>-19.333333333333343</v>
      </c>
      <c r="L131" s="26">
        <f t="shared" si="75"/>
        <v>80</v>
      </c>
      <c r="M131" s="26">
        <f t="shared" si="76"/>
        <v>80</v>
      </c>
      <c r="N131" s="26">
        <f t="shared" si="77"/>
        <v>80</v>
      </c>
      <c r="O131" s="27">
        <f t="shared" si="78"/>
        <v>-817.80000000000052</v>
      </c>
      <c r="P131" s="27">
        <f t="shared" si="79"/>
        <v>3096</v>
      </c>
      <c r="Q131" s="27">
        <f t="shared" si="80"/>
        <v>3096</v>
      </c>
      <c r="R131" s="27">
        <f t="shared" si="81"/>
        <v>3384.0000000000005</v>
      </c>
      <c r="S131" s="27">
        <f t="shared" si="82"/>
        <v>-11325.825000000003</v>
      </c>
      <c r="T131" s="27">
        <f t="shared" si="83"/>
        <v>-2567.6250000000036</v>
      </c>
      <c r="U131" s="27">
        <f t="shared" si="84"/>
        <v>-194118.00468750004</v>
      </c>
      <c r="V131" s="16">
        <f t="shared" si="85"/>
        <v>0.9</v>
      </c>
      <c r="W131" s="27">
        <f t="shared" si="86"/>
        <v>-2310.8625000000034</v>
      </c>
      <c r="X131" s="27">
        <f t="shared" si="87"/>
        <v>-174706.20421875003</v>
      </c>
      <c r="Y131" s="27">
        <f t="shared" si="88"/>
        <v>174706.20421875003</v>
      </c>
    </row>
    <row r="132" spans="2:25">
      <c r="B132" s="22">
        <v>0.5</v>
      </c>
      <c r="C132" s="23">
        <f t="shared" si="94"/>
        <v>21.428571428571431</v>
      </c>
      <c r="D132" s="29">
        <f t="shared" si="89"/>
        <v>6.7385444743935319E-2</v>
      </c>
      <c r="E132" s="36">
        <f t="shared" si="72"/>
        <v>-1.3999999999999999E-4</v>
      </c>
      <c r="F132" s="17">
        <f t="shared" si="90"/>
        <v>4.1519999999999994E-2</v>
      </c>
      <c r="G132" s="25">
        <f t="shared" si="91"/>
        <v>-9.0000000000000019E-4</v>
      </c>
      <c r="H132" s="25">
        <f t="shared" si="92"/>
        <v>1.023E-2</v>
      </c>
      <c r="I132" s="25">
        <f t="shared" si="93"/>
        <v>2.8289999999999996E-2</v>
      </c>
      <c r="J132" s="16">
        <f t="shared" si="73"/>
        <v>3.9419999999999997E-2</v>
      </c>
      <c r="K132" s="26">
        <f t="shared" si="74"/>
        <v>-26.100000000000005</v>
      </c>
      <c r="L132" s="26">
        <f t="shared" si="75"/>
        <v>80</v>
      </c>
      <c r="M132" s="26">
        <f t="shared" si="76"/>
        <v>80</v>
      </c>
      <c r="N132" s="26">
        <f t="shared" si="77"/>
        <v>80</v>
      </c>
      <c r="O132" s="27">
        <f t="shared" si="78"/>
        <v>-1104.0300000000004</v>
      </c>
      <c r="P132" s="27">
        <f t="shared" si="79"/>
        <v>3096</v>
      </c>
      <c r="Q132" s="27">
        <f t="shared" si="80"/>
        <v>3096</v>
      </c>
      <c r="R132" s="27">
        <f t="shared" si="81"/>
        <v>3384.0000000000005</v>
      </c>
      <c r="S132" s="27">
        <f t="shared" si="82"/>
        <v>-12584.25</v>
      </c>
      <c r="T132" s="27">
        <f t="shared" si="83"/>
        <v>-4112.2800000000007</v>
      </c>
      <c r="U132" s="27">
        <f t="shared" si="84"/>
        <v>-212732.51625000002</v>
      </c>
      <c r="V132" s="16">
        <f t="shared" si="85"/>
        <v>0.9</v>
      </c>
      <c r="W132" s="27">
        <f t="shared" si="86"/>
        <v>-3701.0520000000006</v>
      </c>
      <c r="X132" s="27">
        <f t="shared" si="87"/>
        <v>-191459.26462500001</v>
      </c>
      <c r="Y132" s="27">
        <f t="shared" si="88"/>
        <v>191459.26462500001</v>
      </c>
    </row>
    <row r="133" spans="2:25">
      <c r="B133" s="22">
        <v>0.55000000000000004</v>
      </c>
      <c r="C133" s="23">
        <f t="shared" si="94"/>
        <v>23.571428571428573</v>
      </c>
      <c r="D133" s="29">
        <f t="shared" si="89"/>
        <v>7.4123989218328842E-2</v>
      </c>
      <c r="E133" s="36">
        <f t="shared" si="72"/>
        <v>-1.2727272727272725E-4</v>
      </c>
      <c r="F133" s="17">
        <f t="shared" si="90"/>
        <v>3.7472727272727269E-2</v>
      </c>
      <c r="G133" s="25">
        <f t="shared" si="91"/>
        <v>-1.090909090909091E-3</v>
      </c>
      <c r="H133" s="25">
        <f t="shared" si="92"/>
        <v>9.0272727272727258E-3</v>
      </c>
      <c r="I133" s="25">
        <f t="shared" si="93"/>
        <v>2.5445454545454538E-2</v>
      </c>
      <c r="J133" s="16">
        <f t="shared" si="73"/>
        <v>3.556363636363636E-2</v>
      </c>
      <c r="K133" s="26">
        <f t="shared" si="74"/>
        <v>-31.636363636363637</v>
      </c>
      <c r="L133" s="26">
        <f t="shared" si="75"/>
        <v>80</v>
      </c>
      <c r="M133" s="26">
        <f t="shared" si="76"/>
        <v>80</v>
      </c>
      <c r="N133" s="26">
        <f t="shared" si="77"/>
        <v>80</v>
      </c>
      <c r="O133" s="27">
        <f t="shared" si="78"/>
        <v>-1338.2181818181821</v>
      </c>
      <c r="P133" s="27">
        <f t="shared" si="79"/>
        <v>3096</v>
      </c>
      <c r="Q133" s="27">
        <f t="shared" si="80"/>
        <v>3096</v>
      </c>
      <c r="R133" s="27">
        <f t="shared" si="81"/>
        <v>3384.0000000000005</v>
      </c>
      <c r="S133" s="27">
        <f t="shared" si="82"/>
        <v>-13842.675000000001</v>
      </c>
      <c r="T133" s="27">
        <f t="shared" si="83"/>
        <v>-5604.8931818181827</v>
      </c>
      <c r="U133" s="27">
        <f t="shared" si="84"/>
        <v>-230565.22286931821</v>
      </c>
      <c r="V133" s="16">
        <f t="shared" si="85"/>
        <v>0.9</v>
      </c>
      <c r="W133" s="27">
        <f t="shared" si="86"/>
        <v>-5044.4038636363648</v>
      </c>
      <c r="X133" s="27">
        <f t="shared" si="87"/>
        <v>-207508.7005823864</v>
      </c>
      <c r="Y133" s="27">
        <f t="shared" si="88"/>
        <v>207508.7005823864</v>
      </c>
    </row>
    <row r="134" spans="2:25">
      <c r="B134" s="22">
        <v>0.6</v>
      </c>
      <c r="C134" s="23">
        <f t="shared" si="94"/>
        <v>25.714285714285715</v>
      </c>
      <c r="D134" s="29">
        <f t="shared" si="89"/>
        <v>8.086253369272238E-2</v>
      </c>
      <c r="E134" s="36">
        <f t="shared" si="72"/>
        <v>-1.1666666666666667E-4</v>
      </c>
      <c r="F134" s="17">
        <f t="shared" si="90"/>
        <v>3.4099999999999998E-2</v>
      </c>
      <c r="G134" s="25">
        <f t="shared" si="91"/>
        <v>-1.25E-3</v>
      </c>
      <c r="H134" s="25">
        <f t="shared" si="92"/>
        <v>8.0249999999999991E-3</v>
      </c>
      <c r="I134" s="25">
        <f t="shared" si="93"/>
        <v>2.3074999999999998E-2</v>
      </c>
      <c r="J134" s="16">
        <f t="shared" si="73"/>
        <v>3.2349999999999997E-2</v>
      </c>
      <c r="K134" s="26">
        <f t="shared" si="74"/>
        <v>-36.25</v>
      </c>
      <c r="L134" s="26">
        <f t="shared" si="75"/>
        <v>80</v>
      </c>
      <c r="M134" s="26">
        <f t="shared" si="76"/>
        <v>80</v>
      </c>
      <c r="N134" s="26">
        <f t="shared" si="77"/>
        <v>80</v>
      </c>
      <c r="O134" s="27">
        <f t="shared" si="78"/>
        <v>-1533.3750000000002</v>
      </c>
      <c r="P134" s="27">
        <f t="shared" si="79"/>
        <v>3096</v>
      </c>
      <c r="Q134" s="27">
        <f t="shared" si="80"/>
        <v>3096</v>
      </c>
      <c r="R134" s="27">
        <f t="shared" si="81"/>
        <v>3384.0000000000005</v>
      </c>
      <c r="S134" s="27">
        <f t="shared" si="82"/>
        <v>-15101.1</v>
      </c>
      <c r="T134" s="27">
        <f t="shared" si="83"/>
        <v>-7058.4750000000004</v>
      </c>
      <c r="U134" s="27">
        <f t="shared" si="84"/>
        <v>-247772.25</v>
      </c>
      <c r="V134" s="16">
        <f t="shared" si="85"/>
        <v>0.9</v>
      </c>
      <c r="W134" s="27">
        <f t="shared" si="86"/>
        <v>-6352.6275000000005</v>
      </c>
      <c r="X134" s="27">
        <f t="shared" si="87"/>
        <v>-222995.02499999999</v>
      </c>
      <c r="Y134" s="27">
        <f t="shared" si="88"/>
        <v>222995.02499999999</v>
      </c>
    </row>
    <row r="135" spans="2:25">
      <c r="B135" s="22">
        <v>0.65</v>
      </c>
      <c r="C135" s="23">
        <f t="shared" si="94"/>
        <v>27.857142857142861</v>
      </c>
      <c r="D135" s="29">
        <f t="shared" si="89"/>
        <v>8.7601078167115917E-2</v>
      </c>
      <c r="E135" s="36">
        <f t="shared" si="72"/>
        <v>-1.0769230769230768E-4</v>
      </c>
      <c r="F135" s="17">
        <f t="shared" si="90"/>
        <v>3.124615384615384E-2</v>
      </c>
      <c r="G135" s="25">
        <f t="shared" si="91"/>
        <v>-1.384615384615385E-3</v>
      </c>
      <c r="H135" s="25">
        <f t="shared" si="92"/>
        <v>7.1769230769230755E-3</v>
      </c>
      <c r="I135" s="25">
        <f t="shared" si="93"/>
        <v>2.1069230769230767E-2</v>
      </c>
      <c r="J135" s="16">
        <f t="shared" si="73"/>
        <v>2.9630769230769224E-2</v>
      </c>
      <c r="K135" s="26">
        <f t="shared" si="74"/>
        <v>-40.15384615384616</v>
      </c>
      <c r="L135" s="26">
        <f t="shared" si="75"/>
        <v>80</v>
      </c>
      <c r="M135" s="26">
        <f t="shared" si="76"/>
        <v>80</v>
      </c>
      <c r="N135" s="26">
        <f t="shared" si="77"/>
        <v>80</v>
      </c>
      <c r="O135" s="27">
        <f t="shared" si="78"/>
        <v>-1698.5076923076927</v>
      </c>
      <c r="P135" s="27">
        <f t="shared" si="79"/>
        <v>3096</v>
      </c>
      <c r="Q135" s="27">
        <f t="shared" si="80"/>
        <v>3096</v>
      </c>
      <c r="R135" s="27">
        <f t="shared" si="81"/>
        <v>3384.0000000000005</v>
      </c>
      <c r="S135" s="27">
        <f t="shared" si="82"/>
        <v>-16359.525</v>
      </c>
      <c r="T135" s="27">
        <f t="shared" si="83"/>
        <v>-8482.0326923076918</v>
      </c>
      <c r="U135" s="27">
        <f t="shared" si="84"/>
        <v>-264461.68449519231</v>
      </c>
      <c r="V135" s="16">
        <f t="shared" si="85"/>
        <v>0.9</v>
      </c>
      <c r="W135" s="27">
        <f t="shared" si="86"/>
        <v>-7633.8294230769225</v>
      </c>
      <c r="X135" s="27">
        <f t="shared" si="87"/>
        <v>-238015.51604567308</v>
      </c>
      <c r="Y135" s="27">
        <f t="shared" si="88"/>
        <v>238015.51604567308</v>
      </c>
    </row>
    <row r="136" spans="2:25">
      <c r="B136" s="22">
        <v>0.7</v>
      </c>
      <c r="C136" s="23">
        <f t="shared" si="94"/>
        <v>30</v>
      </c>
      <c r="D136" s="29">
        <f t="shared" si="89"/>
        <v>9.4339622641509441E-2</v>
      </c>
      <c r="E136" s="36">
        <f t="shared" si="72"/>
        <v>-1E-4</v>
      </c>
      <c r="F136" s="17">
        <f t="shared" si="90"/>
        <v>2.8800000000000003E-2</v>
      </c>
      <c r="G136" s="25">
        <f t="shared" si="91"/>
        <v>-1.5E-3</v>
      </c>
      <c r="H136" s="25">
        <f t="shared" si="92"/>
        <v>6.45E-3</v>
      </c>
      <c r="I136" s="25">
        <f t="shared" si="93"/>
        <v>1.9350000000000003E-2</v>
      </c>
      <c r="J136" s="16">
        <f t="shared" si="73"/>
        <v>2.7300000000000001E-2</v>
      </c>
      <c r="K136" s="26">
        <f t="shared" si="74"/>
        <v>-43.5</v>
      </c>
      <c r="L136" s="26">
        <f t="shared" si="75"/>
        <v>80</v>
      </c>
      <c r="M136" s="26">
        <f t="shared" si="76"/>
        <v>80</v>
      </c>
      <c r="N136" s="26">
        <f t="shared" si="77"/>
        <v>80</v>
      </c>
      <c r="O136" s="27">
        <f t="shared" si="78"/>
        <v>-1840.0500000000002</v>
      </c>
      <c r="P136" s="27">
        <f t="shared" si="79"/>
        <v>3096</v>
      </c>
      <c r="Q136" s="27">
        <f t="shared" si="80"/>
        <v>3096</v>
      </c>
      <c r="R136" s="27">
        <f t="shared" si="81"/>
        <v>3384.0000000000005</v>
      </c>
      <c r="S136" s="27">
        <f t="shared" si="82"/>
        <v>-17617.95</v>
      </c>
      <c r="T136" s="27">
        <f t="shared" si="83"/>
        <v>-9882</v>
      </c>
      <c r="U136" s="27">
        <f t="shared" si="84"/>
        <v>-280710.73125000001</v>
      </c>
      <c r="V136" s="16">
        <f t="shared" si="85"/>
        <v>0.9</v>
      </c>
      <c r="W136" s="27">
        <f t="shared" si="86"/>
        <v>-8893.8000000000011</v>
      </c>
      <c r="X136" s="27">
        <f t="shared" si="87"/>
        <v>-252639.65812500002</v>
      </c>
      <c r="Y136" s="27">
        <f t="shared" si="88"/>
        <v>252639.65812500002</v>
      </c>
    </row>
    <row r="137" spans="2:25">
      <c r="B137" s="22">
        <v>0.75</v>
      </c>
      <c r="C137" s="23">
        <f t="shared" si="94"/>
        <v>32.142857142857139</v>
      </c>
      <c r="D137" s="29">
        <f t="shared" si="89"/>
        <v>0.10107816711590295</v>
      </c>
      <c r="E137" s="36">
        <f t="shared" si="72"/>
        <v>-9.3333333333333343E-5</v>
      </c>
      <c r="F137" s="17">
        <f t="shared" si="90"/>
        <v>2.6680000000000006E-2</v>
      </c>
      <c r="G137" s="25">
        <f t="shared" si="91"/>
        <v>-1.5999999999999999E-3</v>
      </c>
      <c r="H137" s="25">
        <f t="shared" si="92"/>
        <v>5.8200000000000014E-3</v>
      </c>
      <c r="I137" s="25">
        <f t="shared" si="93"/>
        <v>1.7860000000000001E-2</v>
      </c>
      <c r="J137" s="16">
        <f t="shared" si="73"/>
        <v>2.5280000000000007E-2</v>
      </c>
      <c r="K137" s="26">
        <f t="shared" si="74"/>
        <v>-46.4</v>
      </c>
      <c r="L137" s="26">
        <f t="shared" si="75"/>
        <v>80</v>
      </c>
      <c r="M137" s="26">
        <f t="shared" si="76"/>
        <v>80</v>
      </c>
      <c r="N137" s="26">
        <f t="shared" si="77"/>
        <v>80</v>
      </c>
      <c r="O137" s="27">
        <f t="shared" si="78"/>
        <v>-1962.72</v>
      </c>
      <c r="P137" s="27">
        <f t="shared" si="79"/>
        <v>3096</v>
      </c>
      <c r="Q137" s="27">
        <f t="shared" si="80"/>
        <v>3096</v>
      </c>
      <c r="R137" s="27">
        <f t="shared" si="81"/>
        <v>3384.0000000000005</v>
      </c>
      <c r="S137" s="27">
        <f t="shared" si="82"/>
        <v>-18876.374999999996</v>
      </c>
      <c r="T137" s="27">
        <f t="shared" si="83"/>
        <v>-11263.094999999996</v>
      </c>
      <c r="U137" s="27">
        <f t="shared" si="84"/>
        <v>-296576.00718749996</v>
      </c>
      <c r="V137" s="16">
        <f t="shared" si="85"/>
        <v>0.9</v>
      </c>
      <c r="W137" s="27">
        <f t="shared" si="86"/>
        <v>-10136.785499999996</v>
      </c>
      <c r="X137" s="27">
        <f t="shared" si="87"/>
        <v>-266918.40646874998</v>
      </c>
      <c r="Y137" s="27">
        <f t="shared" si="88"/>
        <v>266918.40646874998</v>
      </c>
    </row>
    <row r="138" spans="2:25">
      <c r="B138" s="22">
        <v>0.8</v>
      </c>
      <c r="C138" s="23">
        <f t="shared" si="94"/>
        <v>34.285714285714292</v>
      </c>
      <c r="D138" s="29">
        <f t="shared" si="89"/>
        <v>0.10781671159029652</v>
      </c>
      <c r="E138" s="36">
        <f t="shared" si="72"/>
        <v>-8.7499999999999986E-5</v>
      </c>
      <c r="F138" s="17">
        <f t="shared" si="90"/>
        <v>2.4824999999999996E-2</v>
      </c>
      <c r="G138" s="25">
        <f t="shared" si="91"/>
        <v>-1.6875000000000002E-3</v>
      </c>
      <c r="H138" s="25">
        <f t="shared" si="92"/>
        <v>5.2687499999999983E-3</v>
      </c>
      <c r="I138" s="25">
        <f t="shared" si="93"/>
        <v>1.6556249999999998E-2</v>
      </c>
      <c r="J138" s="16">
        <f t="shared" si="73"/>
        <v>2.3512499999999995E-2</v>
      </c>
      <c r="K138" s="26">
        <f t="shared" si="74"/>
        <v>-48.937500000000007</v>
      </c>
      <c r="L138" s="26">
        <f t="shared" si="75"/>
        <v>80</v>
      </c>
      <c r="M138" s="26">
        <f t="shared" si="76"/>
        <v>80</v>
      </c>
      <c r="N138" s="26">
        <f t="shared" si="77"/>
        <v>80</v>
      </c>
      <c r="O138" s="27">
        <f t="shared" si="78"/>
        <v>-2070.0562500000005</v>
      </c>
      <c r="P138" s="27">
        <f t="shared" si="79"/>
        <v>3096</v>
      </c>
      <c r="Q138" s="27">
        <f t="shared" si="80"/>
        <v>3096</v>
      </c>
      <c r="R138" s="27">
        <f t="shared" si="81"/>
        <v>3384.0000000000005</v>
      </c>
      <c r="S138" s="27">
        <f t="shared" si="82"/>
        <v>-20134.800000000003</v>
      </c>
      <c r="T138" s="27">
        <f t="shared" si="83"/>
        <v>-12628.856250000003</v>
      </c>
      <c r="U138" s="27">
        <f t="shared" si="84"/>
        <v>-312099.97500000003</v>
      </c>
      <c r="V138" s="16">
        <f t="shared" si="85"/>
        <v>0.9</v>
      </c>
      <c r="W138" s="27">
        <f t="shared" si="86"/>
        <v>-11365.970625000002</v>
      </c>
      <c r="X138" s="27">
        <f t="shared" si="87"/>
        <v>-280889.97750000004</v>
      </c>
      <c r="Y138" s="27">
        <f t="shared" si="88"/>
        <v>280889.97750000004</v>
      </c>
    </row>
    <row r="139" spans="2:25">
      <c r="B139" s="22">
        <v>0.85</v>
      </c>
      <c r="C139" s="23">
        <f t="shared" si="94"/>
        <v>36.428571428571431</v>
      </c>
      <c r="D139" s="29">
        <f t="shared" si="89"/>
        <v>0.11455525606469004</v>
      </c>
      <c r="E139" s="36">
        <f t="shared" si="72"/>
        <v>-8.2352941176470581E-5</v>
      </c>
      <c r="F139" s="17">
        <f t="shared" si="90"/>
        <v>2.3188235294117645E-2</v>
      </c>
      <c r="G139" s="25">
        <f t="shared" si="91"/>
        <v>-1.7647058823529412E-3</v>
      </c>
      <c r="H139" s="25">
        <f t="shared" si="92"/>
        <v>4.7823529411764702E-3</v>
      </c>
      <c r="I139" s="25">
        <f t="shared" si="93"/>
        <v>1.5405882352941174E-2</v>
      </c>
      <c r="J139" s="16">
        <f t="shared" si="73"/>
        <v>2.1952941176470585E-2</v>
      </c>
      <c r="K139" s="26">
        <f t="shared" si="74"/>
        <v>-51.176470588235297</v>
      </c>
      <c r="L139" s="26">
        <f t="shared" si="75"/>
        <v>80</v>
      </c>
      <c r="M139" s="26">
        <f t="shared" si="76"/>
        <v>80</v>
      </c>
      <c r="N139" s="26">
        <f t="shared" si="77"/>
        <v>80</v>
      </c>
      <c r="O139" s="27">
        <f t="shared" si="78"/>
        <v>-2164.7647058823532</v>
      </c>
      <c r="P139" s="27">
        <f t="shared" si="79"/>
        <v>3096</v>
      </c>
      <c r="Q139" s="27">
        <f t="shared" si="80"/>
        <v>3096</v>
      </c>
      <c r="R139" s="27">
        <f t="shared" si="81"/>
        <v>3384.0000000000005</v>
      </c>
      <c r="S139" s="27">
        <f t="shared" si="82"/>
        <v>-21393.225000000002</v>
      </c>
      <c r="T139" s="27">
        <f t="shared" si="83"/>
        <v>-13981.989705882355</v>
      </c>
      <c r="U139" s="27">
        <f t="shared" si="84"/>
        <v>-327315.10615808825</v>
      </c>
      <c r="V139" s="16">
        <f t="shared" si="85"/>
        <v>0.9</v>
      </c>
      <c r="W139" s="27">
        <f t="shared" si="86"/>
        <v>-12583.79073529412</v>
      </c>
      <c r="X139" s="27">
        <f t="shared" si="87"/>
        <v>-294583.59554227942</v>
      </c>
      <c r="Y139" s="27">
        <f t="shared" si="88"/>
        <v>294583.59554227942</v>
      </c>
    </row>
    <row r="140" spans="2:25">
      <c r="B140" s="22">
        <v>0.9</v>
      </c>
      <c r="C140" s="23">
        <f t="shared" si="94"/>
        <v>38.571428571428577</v>
      </c>
      <c r="D140" s="29">
        <f t="shared" si="89"/>
        <v>0.12129380053908358</v>
      </c>
      <c r="E140" s="36">
        <f t="shared" si="72"/>
        <v>-7.7777777777777768E-5</v>
      </c>
      <c r="F140" s="17">
        <f t="shared" si="90"/>
        <v>2.173333333333333E-2</v>
      </c>
      <c r="G140" s="25">
        <f t="shared" si="91"/>
        <v>-1.8333333333333335E-3</v>
      </c>
      <c r="H140" s="25">
        <f t="shared" si="92"/>
        <v>4.3499999999999988E-3</v>
      </c>
      <c r="I140" s="25">
        <f t="shared" si="93"/>
        <v>1.4383333333333331E-2</v>
      </c>
      <c r="J140" s="16">
        <f t="shared" si="73"/>
        <v>2.0566666666666664E-2</v>
      </c>
      <c r="K140" s="26">
        <f t="shared" si="74"/>
        <v>-53.166666666666671</v>
      </c>
      <c r="L140" s="26">
        <f t="shared" si="75"/>
        <v>80</v>
      </c>
      <c r="M140" s="26">
        <f t="shared" si="76"/>
        <v>80</v>
      </c>
      <c r="N140" s="26">
        <f t="shared" si="77"/>
        <v>80</v>
      </c>
      <c r="O140" s="27">
        <f t="shared" si="78"/>
        <v>-2248.9500000000003</v>
      </c>
      <c r="P140" s="27">
        <f t="shared" si="79"/>
        <v>3096</v>
      </c>
      <c r="Q140" s="27">
        <f t="shared" si="80"/>
        <v>3096</v>
      </c>
      <c r="R140" s="27">
        <f t="shared" si="81"/>
        <v>3384.0000000000005</v>
      </c>
      <c r="S140" s="27">
        <f t="shared" si="82"/>
        <v>-22651.650000000005</v>
      </c>
      <c r="T140" s="27">
        <f t="shared" si="83"/>
        <v>-15324.600000000006</v>
      </c>
      <c r="U140" s="27">
        <f t="shared" si="84"/>
        <v>-342246.65625000006</v>
      </c>
      <c r="V140" s="16">
        <f t="shared" si="85"/>
        <v>0.9</v>
      </c>
      <c r="W140" s="27">
        <f t="shared" si="86"/>
        <v>-13792.140000000005</v>
      </c>
      <c r="X140" s="27">
        <f t="shared" si="87"/>
        <v>-308021.99062500003</v>
      </c>
      <c r="Y140" s="27">
        <f t="shared" si="88"/>
        <v>308021.99062500003</v>
      </c>
    </row>
    <row r="142" spans="2:25">
      <c r="B142" s="11" t="s">
        <v>7</v>
      </c>
      <c r="D142" s="33">
        <v>1.2E-2</v>
      </c>
    </row>
    <row r="143" spans="2:25">
      <c r="B143" s="9" t="s">
        <v>8</v>
      </c>
      <c r="C143" s="9" t="s">
        <v>15</v>
      </c>
      <c r="D143" s="26">
        <f>D142*(D10*D12)</f>
        <v>50.76</v>
      </c>
    </row>
    <row r="144" spans="2:25">
      <c r="B144" s="9" t="s">
        <v>9</v>
      </c>
      <c r="C144" s="9" t="s">
        <v>15</v>
      </c>
      <c r="D144" s="26">
        <f>D142*(D11-(2*D12))/2*D13</f>
        <v>46.44</v>
      </c>
    </row>
    <row r="145" spans="1:25">
      <c r="B145" s="9" t="s">
        <v>10</v>
      </c>
      <c r="C145" s="9" t="s">
        <v>15</v>
      </c>
      <c r="D145" s="26">
        <f>D144</f>
        <v>46.44</v>
      </c>
    </row>
    <row r="146" spans="1:25">
      <c r="B146" s="9" t="s">
        <v>59</v>
      </c>
      <c r="C146" s="9" t="s">
        <v>15</v>
      </c>
      <c r="D146" s="26">
        <f>D143</f>
        <v>50.76</v>
      </c>
    </row>
    <row r="147" spans="1:25">
      <c r="B147" s="18" t="s">
        <v>61</v>
      </c>
      <c r="C147" s="18" t="s">
        <v>37</v>
      </c>
      <c r="D147" s="18" t="s">
        <v>60</v>
      </c>
      <c r="E147" s="19" t="s">
        <v>19</v>
      </c>
      <c r="F147" s="19" t="s">
        <v>20</v>
      </c>
      <c r="G147" s="19" t="s">
        <v>21</v>
      </c>
      <c r="H147" s="19" t="s">
        <v>22</v>
      </c>
      <c r="I147" s="19" t="s">
        <v>23</v>
      </c>
      <c r="J147" s="19" t="s">
        <v>51</v>
      </c>
      <c r="K147" s="19" t="s">
        <v>24</v>
      </c>
      <c r="L147" s="19" t="s">
        <v>25</v>
      </c>
      <c r="M147" s="19" t="s">
        <v>26</v>
      </c>
      <c r="N147" s="19" t="s">
        <v>52</v>
      </c>
      <c r="O147" s="19" t="s">
        <v>27</v>
      </c>
      <c r="P147" s="19" t="s">
        <v>28</v>
      </c>
      <c r="Q147" s="19" t="s">
        <v>29</v>
      </c>
      <c r="R147" s="19" t="s">
        <v>53</v>
      </c>
      <c r="S147" s="19" t="s">
        <v>30</v>
      </c>
      <c r="T147" s="19" t="s">
        <v>31</v>
      </c>
      <c r="U147" s="19" t="s">
        <v>32</v>
      </c>
      <c r="V147" s="19" t="s">
        <v>33</v>
      </c>
      <c r="W147" s="19" t="s">
        <v>34</v>
      </c>
      <c r="X147" s="19" t="s">
        <v>35</v>
      </c>
    </row>
    <row r="148" spans="1:25">
      <c r="B148" s="20"/>
      <c r="C148" s="21" t="s">
        <v>14</v>
      </c>
      <c r="D148" s="21"/>
      <c r="E148" s="21" t="s">
        <v>39</v>
      </c>
      <c r="F148" s="20"/>
      <c r="G148" s="20"/>
      <c r="H148" s="19"/>
      <c r="I148" s="19"/>
      <c r="J148" s="19"/>
      <c r="K148" s="21" t="s">
        <v>13</v>
      </c>
      <c r="L148" s="21" t="s">
        <v>13</v>
      </c>
      <c r="M148" s="21" t="s">
        <v>13</v>
      </c>
      <c r="N148" s="21"/>
      <c r="O148" s="21" t="s">
        <v>41</v>
      </c>
      <c r="P148" s="21" t="s">
        <v>41</v>
      </c>
      <c r="Q148" s="21" t="s">
        <v>41</v>
      </c>
      <c r="R148" s="21"/>
      <c r="S148" s="21" t="s">
        <v>41</v>
      </c>
      <c r="T148" s="21" t="s">
        <v>41</v>
      </c>
      <c r="U148" s="21" t="s">
        <v>42</v>
      </c>
      <c r="V148" s="21"/>
      <c r="W148" s="21" t="s">
        <v>41</v>
      </c>
      <c r="X148" s="21" t="s">
        <v>42</v>
      </c>
    </row>
    <row r="149" spans="1:25">
      <c r="A149" s="15" t="s">
        <v>36</v>
      </c>
      <c r="B149" s="22"/>
      <c r="C149" s="23"/>
      <c r="D149" s="23"/>
      <c r="E149" s="24"/>
      <c r="F149" s="17"/>
      <c r="G149" s="25"/>
      <c r="H149" s="25"/>
      <c r="I149" s="25"/>
      <c r="J149" s="25"/>
      <c r="K149" s="26"/>
      <c r="L149" s="26"/>
      <c r="M149" s="26"/>
      <c r="N149" s="26"/>
      <c r="O149" s="27"/>
      <c r="P149" s="27"/>
      <c r="Q149" s="27"/>
      <c r="R149" s="27"/>
      <c r="S149" s="27"/>
      <c r="T149" s="27"/>
      <c r="U149" s="27"/>
      <c r="V149" s="16"/>
      <c r="W149" s="27"/>
      <c r="X149" s="27"/>
    </row>
    <row r="150" spans="1:25">
      <c r="B150" s="22">
        <v>1.0000000000000001E-5</v>
      </c>
      <c r="C150" s="28">
        <f t="shared" ref="C150" si="95">B150/$D$15*$D$13</f>
        <v>4.285714285714286E-4</v>
      </c>
      <c r="D150" s="29">
        <f>C150/$D$10</f>
        <v>3.0395136778115506E-6</v>
      </c>
      <c r="E150" s="36">
        <f t="shared" ref="E150:E168" si="96">-0.003/C150</f>
        <v>-7</v>
      </c>
      <c r="F150" s="17">
        <f>E150*(C150-$D$11)</f>
        <v>2225.9969999999998</v>
      </c>
      <c r="G150" s="25">
        <f>E150*(C150-($D$20))</f>
        <v>104.997</v>
      </c>
      <c r="H150" s="25">
        <f>E150*(C150-($D$21))</f>
        <v>661.49699999999996</v>
      </c>
      <c r="I150" s="17">
        <f>E150*(C150-($D$22))</f>
        <v>1564.4970000000001</v>
      </c>
      <c r="J150" s="16">
        <f>E150*(C150-$D$23)</f>
        <v>2120.9969999999998</v>
      </c>
      <c r="K150" s="26">
        <f>SIGN(G150)*MIN($D$8*ABS(G150),$D$7)</f>
        <v>80</v>
      </c>
      <c r="L150" s="26">
        <f>SIGN(H150)*MIN($D$8*ABS(H150),$D$7)</f>
        <v>80</v>
      </c>
      <c r="M150" s="26">
        <f>SIGN(I150)*MIN($D$8*ABS(I150),$D$7)</f>
        <v>80</v>
      </c>
      <c r="N150" s="26">
        <f>SIGN(J150)*MIN($D$8*ABS(J150),$D$7)</f>
        <v>80</v>
      </c>
      <c r="O150" s="27">
        <f>$D$143*K150</f>
        <v>4060.7999999999997</v>
      </c>
      <c r="P150" s="27">
        <f>$D$144*L150</f>
        <v>3715.2</v>
      </c>
      <c r="Q150" s="27">
        <f>$D$145*M150</f>
        <v>3715.2</v>
      </c>
      <c r="R150" s="27">
        <f>N150*$D$146</f>
        <v>4060.7999999999997</v>
      </c>
      <c r="S150" s="27">
        <f>$D$15*C150*$D$10*(-0.85*$D$6)</f>
        <v>-0.25168500000000005</v>
      </c>
      <c r="T150" s="27">
        <f>SUM(O150:S150)</f>
        <v>15551.748315000001</v>
      </c>
      <c r="U150" s="27">
        <f>(S150*($D$18-$D$15*C150/2)+O150*($D$18-$D$20)+(P150*($D$18-$D$21))+(Q150*($D$18-$D$22))+R150*($D$18-$D$23))/12</f>
        <v>-3.3348231039417442</v>
      </c>
      <c r="V150" s="16">
        <f>MAX(0.65,MIN(0.9,0.65+(F150-0.002)*250/3))</f>
        <v>0.9</v>
      </c>
      <c r="W150" s="27">
        <f>V150*T150</f>
        <v>13996.5734835</v>
      </c>
      <c r="X150" s="27">
        <f>V150*U150</f>
        <v>-3.0013407935475698</v>
      </c>
      <c r="Y150" s="27">
        <f>-X150</f>
        <v>3.0013407935475698</v>
      </c>
    </row>
    <row r="151" spans="1:25">
      <c r="B151" s="22">
        <v>0.05</v>
      </c>
      <c r="C151" s="23">
        <f>B151/$D$15*$D$13</f>
        <v>2.1428571428571432</v>
      </c>
      <c r="D151" s="29">
        <f>C151/$D$11</f>
        <v>6.7385444743935322E-3</v>
      </c>
      <c r="E151" s="36">
        <f t="shared" si="96"/>
        <v>-1.3999999999999998E-3</v>
      </c>
      <c r="F151" s="17">
        <f>E151*(C151-$D$11)</f>
        <v>0.44219999999999987</v>
      </c>
      <c r="G151" s="25">
        <f>E151*(C151-($D$20))</f>
        <v>1.7999999999999999E-2</v>
      </c>
      <c r="H151" s="25">
        <f>E151*(C151-($D$21))</f>
        <v>0.12929999999999997</v>
      </c>
      <c r="I151" s="25">
        <f>E151*(C151-($D$22))</f>
        <v>0.30989999999999995</v>
      </c>
      <c r="J151" s="16">
        <f t="shared" ref="J151:J168" si="97">E151*(C151-$D$23)</f>
        <v>0.42119999999999991</v>
      </c>
      <c r="K151" s="26">
        <f t="shared" ref="K151:K168" si="98">SIGN(G151)*MIN($D$8*ABS(G151),$D$7)</f>
        <v>80</v>
      </c>
      <c r="L151" s="26">
        <f t="shared" ref="L151:L168" si="99">SIGN(H151)*MIN($D$8*ABS(H151),$D$7)</f>
        <v>80</v>
      </c>
      <c r="M151" s="26">
        <f t="shared" ref="M151:M168" si="100">SIGN(I151)*MIN($D$8*ABS(I151),$D$7)</f>
        <v>80</v>
      </c>
      <c r="N151" s="26">
        <f t="shared" ref="N151:N168" si="101">SIGN(J151)*MIN($D$8*ABS(J151),$D$7)</f>
        <v>80</v>
      </c>
      <c r="O151" s="27">
        <f t="shared" ref="O151:O168" si="102">$D$143*K151</f>
        <v>4060.7999999999997</v>
      </c>
      <c r="P151" s="27">
        <f t="shared" ref="P151:P168" si="103">$D$144*L151</f>
        <v>3715.2</v>
      </c>
      <c r="Q151" s="27">
        <f t="shared" ref="Q151:Q168" si="104">$D$145*M151</f>
        <v>3715.2</v>
      </c>
      <c r="R151" s="27">
        <f t="shared" ref="R151:R168" si="105">N151*$D$146</f>
        <v>4060.7999999999997</v>
      </c>
      <c r="S151" s="27">
        <f t="shared" ref="S151:S168" si="106">$D$15*C151*$D$10*(-0.85*$D$6)</f>
        <v>-1258.4250000000002</v>
      </c>
      <c r="T151" s="27">
        <f t="shared" ref="T151:T168" si="107">SUM(O151:S151)</f>
        <v>14293.575000000001</v>
      </c>
      <c r="U151" s="27">
        <f t="shared" ref="U151:U168" si="108">(S151*($D$18-$D$15*C151/2)+O151*($D$18-$D$20)+(P151*($D$18-$D$21))+(Q151*($D$18-$D$22))+R151*($D$18-$D$23))/12</f>
        <v>-16595.479687500007</v>
      </c>
      <c r="V151" s="16">
        <f t="shared" ref="V151:V168" si="109">MAX(0.65,MIN(0.9,0.65+(F151-0.002)*250/3))</f>
        <v>0.9</v>
      </c>
      <c r="W151" s="27">
        <f t="shared" ref="W151:W168" si="110">V151*T151</f>
        <v>12864.217500000001</v>
      </c>
      <c r="X151" s="27">
        <f t="shared" ref="X151:X168" si="111">V151*U151</f>
        <v>-14935.931718750006</v>
      </c>
      <c r="Y151" s="27">
        <f t="shared" ref="Y151:Y168" si="112">-X151</f>
        <v>14935.931718750006</v>
      </c>
    </row>
    <row r="152" spans="1:25">
      <c r="B152" s="22">
        <v>0.1</v>
      </c>
      <c r="C152" s="23">
        <f>B152/$D$15*$D$13</f>
        <v>4.2857142857142865</v>
      </c>
      <c r="D152" s="29">
        <f t="shared" ref="D152:D168" si="113">C152/$D$11</f>
        <v>1.3477088948787064E-2</v>
      </c>
      <c r="E152" s="36">
        <f t="shared" si="96"/>
        <v>-6.9999999999999988E-4</v>
      </c>
      <c r="F152" s="17">
        <f t="shared" ref="F152:F168" si="114">E152*(C152-$D$11)</f>
        <v>0.21959999999999996</v>
      </c>
      <c r="G152" s="25">
        <f t="shared" ref="G152:G168" si="115">E152*(C152-($D$20))</f>
        <v>7.499999999999998E-3</v>
      </c>
      <c r="H152" s="25">
        <f t="shared" ref="H152:H168" si="116">E152*(C152-($D$21))</f>
        <v>6.3149999999999984E-2</v>
      </c>
      <c r="I152" s="25">
        <f t="shared" ref="I152:I168" si="117">E152*(C152-($D$22))</f>
        <v>0.15344999999999998</v>
      </c>
      <c r="J152" s="16">
        <f t="shared" si="97"/>
        <v>0.20909999999999998</v>
      </c>
      <c r="K152" s="26">
        <f t="shared" si="98"/>
        <v>80</v>
      </c>
      <c r="L152" s="26">
        <f t="shared" si="99"/>
        <v>80</v>
      </c>
      <c r="M152" s="26">
        <f t="shared" si="100"/>
        <v>80</v>
      </c>
      <c r="N152" s="26">
        <f t="shared" si="101"/>
        <v>80</v>
      </c>
      <c r="O152" s="27">
        <f t="shared" si="102"/>
        <v>4060.7999999999997</v>
      </c>
      <c r="P152" s="27">
        <f t="shared" si="103"/>
        <v>3715.2</v>
      </c>
      <c r="Q152" s="27">
        <f t="shared" si="104"/>
        <v>3715.2</v>
      </c>
      <c r="R152" s="27">
        <f t="shared" si="105"/>
        <v>4060.7999999999997</v>
      </c>
      <c r="S152" s="27">
        <f t="shared" si="106"/>
        <v>-2516.8500000000004</v>
      </c>
      <c r="T152" s="27">
        <f t="shared" si="107"/>
        <v>13035.15</v>
      </c>
      <c r="U152" s="27">
        <f t="shared" si="108"/>
        <v>-33033.656250000007</v>
      </c>
      <c r="V152" s="16">
        <f t="shared" si="109"/>
        <v>0.9</v>
      </c>
      <c r="W152" s="27">
        <f t="shared" si="110"/>
        <v>11731.635</v>
      </c>
      <c r="X152" s="27">
        <f t="shared" si="111"/>
        <v>-29730.290625000009</v>
      </c>
      <c r="Y152" s="27">
        <f t="shared" si="112"/>
        <v>29730.290625000009</v>
      </c>
    </row>
    <row r="153" spans="1:25">
      <c r="B153" s="22">
        <v>0.15</v>
      </c>
      <c r="C153" s="23">
        <f>B153/$D$15*$D$13</f>
        <v>6.4285714285714288</v>
      </c>
      <c r="D153" s="29">
        <f t="shared" si="113"/>
        <v>2.0215633423180595E-2</v>
      </c>
      <c r="E153" s="36">
        <f t="shared" si="96"/>
        <v>-4.6666666666666666E-4</v>
      </c>
      <c r="F153" s="17">
        <f t="shared" si="114"/>
        <v>0.1454</v>
      </c>
      <c r="G153" s="25">
        <f t="shared" si="115"/>
        <v>4.0000000000000001E-3</v>
      </c>
      <c r="H153" s="25">
        <f t="shared" si="116"/>
        <v>4.1099999999999998E-2</v>
      </c>
      <c r="I153" s="25">
        <f t="shared" si="117"/>
        <v>0.1013</v>
      </c>
      <c r="J153" s="16">
        <f t="shared" si="97"/>
        <v>0.1384</v>
      </c>
      <c r="K153" s="26">
        <f t="shared" si="98"/>
        <v>80</v>
      </c>
      <c r="L153" s="26">
        <f t="shared" si="99"/>
        <v>80</v>
      </c>
      <c r="M153" s="26">
        <f t="shared" si="100"/>
        <v>80</v>
      </c>
      <c r="N153" s="26">
        <f t="shared" si="101"/>
        <v>80</v>
      </c>
      <c r="O153" s="27">
        <f t="shared" si="102"/>
        <v>4060.7999999999997</v>
      </c>
      <c r="P153" s="27">
        <f t="shared" si="103"/>
        <v>3715.2</v>
      </c>
      <c r="Q153" s="27">
        <f t="shared" si="104"/>
        <v>3715.2</v>
      </c>
      <c r="R153" s="27">
        <f t="shared" si="105"/>
        <v>4060.7999999999997</v>
      </c>
      <c r="S153" s="27">
        <f t="shared" si="106"/>
        <v>-3775.2750000000001</v>
      </c>
      <c r="T153" s="27">
        <f t="shared" si="107"/>
        <v>11776.725</v>
      </c>
      <c r="U153" s="27">
        <f t="shared" si="108"/>
        <v>-49314.529687500006</v>
      </c>
      <c r="V153" s="16">
        <f t="shared" si="109"/>
        <v>0.9</v>
      </c>
      <c r="W153" s="27">
        <f t="shared" si="110"/>
        <v>10599.0525</v>
      </c>
      <c r="X153" s="27">
        <f t="shared" si="111"/>
        <v>-44383.07671875001</v>
      </c>
      <c r="Y153" s="27">
        <f t="shared" si="112"/>
        <v>44383.07671875001</v>
      </c>
    </row>
    <row r="154" spans="1:25">
      <c r="B154" s="22">
        <v>0.2</v>
      </c>
      <c r="C154" s="23">
        <f>B154/$D$15*$D$13</f>
        <v>8.571428571428573</v>
      </c>
      <c r="D154" s="29">
        <f t="shared" si="113"/>
        <v>2.6954177897574129E-2</v>
      </c>
      <c r="E154" s="36">
        <f t="shared" si="96"/>
        <v>-3.4999999999999994E-4</v>
      </c>
      <c r="F154" s="17">
        <f t="shared" si="114"/>
        <v>0.10829999999999999</v>
      </c>
      <c r="G154" s="25">
        <f t="shared" si="115"/>
        <v>2.249999999999999E-3</v>
      </c>
      <c r="H154" s="25">
        <f t="shared" si="116"/>
        <v>3.0074999999999994E-2</v>
      </c>
      <c r="I154" s="25">
        <f t="shared" si="117"/>
        <v>7.5224999999999986E-2</v>
      </c>
      <c r="J154" s="16">
        <f t="shared" si="97"/>
        <v>0.10304999999999999</v>
      </c>
      <c r="K154" s="26">
        <f t="shared" si="98"/>
        <v>65.249999999999972</v>
      </c>
      <c r="L154" s="26">
        <f t="shared" si="99"/>
        <v>80</v>
      </c>
      <c r="M154" s="26">
        <f t="shared" si="100"/>
        <v>80</v>
      </c>
      <c r="N154" s="26">
        <f t="shared" si="101"/>
        <v>80</v>
      </c>
      <c r="O154" s="27">
        <f t="shared" si="102"/>
        <v>3312.0899999999983</v>
      </c>
      <c r="P154" s="27">
        <f t="shared" si="103"/>
        <v>3715.2</v>
      </c>
      <c r="Q154" s="27">
        <f t="shared" si="104"/>
        <v>3715.2</v>
      </c>
      <c r="R154" s="27">
        <f t="shared" si="105"/>
        <v>4060.7999999999997</v>
      </c>
      <c r="S154" s="27">
        <f t="shared" si="106"/>
        <v>-5033.7000000000007</v>
      </c>
      <c r="T154" s="27">
        <f t="shared" si="107"/>
        <v>9769.5899999999965</v>
      </c>
      <c r="U154" s="27">
        <f t="shared" si="108"/>
        <v>-74422.620000000024</v>
      </c>
      <c r="V154" s="16">
        <f t="shared" si="109"/>
        <v>0.9</v>
      </c>
      <c r="W154" s="27">
        <f t="shared" si="110"/>
        <v>8792.6309999999976</v>
      </c>
      <c r="X154" s="27">
        <f t="shared" si="111"/>
        <v>-66980.358000000022</v>
      </c>
      <c r="Y154" s="27">
        <f t="shared" si="112"/>
        <v>66980.358000000022</v>
      </c>
    </row>
    <row r="155" spans="1:25">
      <c r="B155" s="22">
        <v>0.25</v>
      </c>
      <c r="C155" s="23">
        <f>B155/$D$15*$D$13</f>
        <v>10.714285714285715</v>
      </c>
      <c r="D155" s="29">
        <f t="shared" si="113"/>
        <v>3.3692722371967659E-2</v>
      </c>
      <c r="E155" s="36">
        <f t="shared" si="96"/>
        <v>-2.7999999999999998E-4</v>
      </c>
      <c r="F155" s="17">
        <f t="shared" si="114"/>
        <v>8.6039999999999991E-2</v>
      </c>
      <c r="G155" s="25">
        <f t="shared" si="115"/>
        <v>1.1999999999999997E-3</v>
      </c>
      <c r="H155" s="25">
        <f t="shared" si="116"/>
        <v>2.3459999999999995E-2</v>
      </c>
      <c r="I155" s="25">
        <f t="shared" si="117"/>
        <v>5.9579999999999994E-2</v>
      </c>
      <c r="J155" s="16">
        <f t="shared" si="97"/>
        <v>8.1839999999999996E-2</v>
      </c>
      <c r="K155" s="26">
        <f t="shared" si="98"/>
        <v>34.79999999999999</v>
      </c>
      <c r="L155" s="26">
        <f t="shared" si="99"/>
        <v>80</v>
      </c>
      <c r="M155" s="26">
        <f t="shared" si="100"/>
        <v>80</v>
      </c>
      <c r="N155" s="26">
        <f t="shared" si="101"/>
        <v>80</v>
      </c>
      <c r="O155" s="27">
        <f t="shared" si="102"/>
        <v>1766.4479999999994</v>
      </c>
      <c r="P155" s="27">
        <f t="shared" si="103"/>
        <v>3715.2</v>
      </c>
      <c r="Q155" s="27">
        <f t="shared" si="104"/>
        <v>3715.2</v>
      </c>
      <c r="R155" s="27">
        <f t="shared" si="105"/>
        <v>4060.7999999999997</v>
      </c>
      <c r="S155" s="27">
        <f t="shared" si="106"/>
        <v>-6292.125</v>
      </c>
      <c r="T155" s="27">
        <f t="shared" si="107"/>
        <v>6965.5229999999974</v>
      </c>
      <c r="U155" s="27">
        <f t="shared" si="108"/>
        <v>-108936.5911875</v>
      </c>
      <c r="V155" s="16">
        <f t="shared" si="109"/>
        <v>0.9</v>
      </c>
      <c r="W155" s="27">
        <f t="shared" si="110"/>
        <v>6268.970699999998</v>
      </c>
      <c r="X155" s="27">
        <f t="shared" si="111"/>
        <v>-98042.93206875</v>
      </c>
      <c r="Y155" s="27">
        <f t="shared" si="112"/>
        <v>98042.93206875</v>
      </c>
    </row>
    <row r="156" spans="1:25">
      <c r="B156" s="22">
        <v>0.3</v>
      </c>
      <c r="C156" s="23">
        <f t="shared" ref="C156:C168" si="118">B156/$D$15*$D$13</f>
        <v>12.857142857142858</v>
      </c>
      <c r="D156" s="29">
        <f t="shared" si="113"/>
        <v>4.043126684636119E-2</v>
      </c>
      <c r="E156" s="36">
        <f t="shared" si="96"/>
        <v>-2.3333333333333333E-4</v>
      </c>
      <c r="F156" s="17">
        <f t="shared" si="114"/>
        <v>7.1199999999999999E-2</v>
      </c>
      <c r="G156" s="25">
        <f t="shared" si="115"/>
        <v>4.999999999999999E-4</v>
      </c>
      <c r="H156" s="25">
        <f t="shared" si="116"/>
        <v>1.9049999999999997E-2</v>
      </c>
      <c r="I156" s="25">
        <f t="shared" si="117"/>
        <v>4.9149999999999999E-2</v>
      </c>
      <c r="J156" s="16">
        <f t="shared" si="97"/>
        <v>6.770000000000001E-2</v>
      </c>
      <c r="K156" s="26">
        <f t="shared" si="98"/>
        <v>14.499999999999996</v>
      </c>
      <c r="L156" s="26">
        <f t="shared" si="99"/>
        <v>80</v>
      </c>
      <c r="M156" s="26">
        <f t="shared" si="100"/>
        <v>80</v>
      </c>
      <c r="N156" s="26">
        <f t="shared" si="101"/>
        <v>80</v>
      </c>
      <c r="O156" s="27">
        <f t="shared" si="102"/>
        <v>736.01999999999975</v>
      </c>
      <c r="P156" s="27">
        <f t="shared" si="103"/>
        <v>3715.2</v>
      </c>
      <c r="Q156" s="27">
        <f t="shared" si="104"/>
        <v>3715.2</v>
      </c>
      <c r="R156" s="27">
        <f t="shared" si="105"/>
        <v>4060.7999999999997</v>
      </c>
      <c r="S156" s="27">
        <f t="shared" si="106"/>
        <v>-7550.55</v>
      </c>
      <c r="T156" s="27">
        <f t="shared" si="107"/>
        <v>4676.6699999999992</v>
      </c>
      <c r="U156" s="27">
        <f t="shared" si="108"/>
        <v>-137110.69125</v>
      </c>
      <c r="V156" s="16">
        <f t="shared" si="109"/>
        <v>0.9</v>
      </c>
      <c r="W156" s="27">
        <f t="shared" si="110"/>
        <v>4209.0029999999997</v>
      </c>
      <c r="X156" s="27">
        <f t="shared" si="111"/>
        <v>-123399.62212500001</v>
      </c>
      <c r="Y156" s="27">
        <f t="shared" si="112"/>
        <v>123399.62212500001</v>
      </c>
    </row>
    <row r="157" spans="1:25">
      <c r="B157" s="22">
        <v>0.35</v>
      </c>
      <c r="C157" s="23">
        <f t="shared" si="118"/>
        <v>15</v>
      </c>
      <c r="D157" s="29">
        <f t="shared" si="113"/>
        <v>4.716981132075472E-2</v>
      </c>
      <c r="E157" s="36">
        <f t="shared" si="96"/>
        <v>-2.0000000000000001E-4</v>
      </c>
      <c r="F157" s="17">
        <f t="shared" si="114"/>
        <v>6.0600000000000001E-2</v>
      </c>
      <c r="G157" s="25">
        <f t="shared" si="115"/>
        <v>0</v>
      </c>
      <c r="H157" s="25">
        <f t="shared" si="116"/>
        <v>1.5900000000000001E-2</v>
      </c>
      <c r="I157" s="25">
        <f t="shared" si="117"/>
        <v>4.1700000000000001E-2</v>
      </c>
      <c r="J157" s="16">
        <f t="shared" si="97"/>
        <v>5.7600000000000005E-2</v>
      </c>
      <c r="K157" s="26">
        <f t="shared" si="98"/>
        <v>0</v>
      </c>
      <c r="L157" s="26">
        <f t="shared" si="99"/>
        <v>80</v>
      </c>
      <c r="M157" s="26">
        <f t="shared" si="100"/>
        <v>80</v>
      </c>
      <c r="N157" s="26">
        <f t="shared" si="101"/>
        <v>80</v>
      </c>
      <c r="O157" s="27">
        <f t="shared" si="102"/>
        <v>0</v>
      </c>
      <c r="P157" s="27">
        <f t="shared" si="103"/>
        <v>3715.2</v>
      </c>
      <c r="Q157" s="27">
        <f t="shared" si="104"/>
        <v>3715.2</v>
      </c>
      <c r="R157" s="27">
        <f t="shared" si="105"/>
        <v>4060.7999999999997</v>
      </c>
      <c r="S157" s="27">
        <f t="shared" si="106"/>
        <v>-8808.9750000000004</v>
      </c>
      <c r="T157" s="27">
        <f t="shared" si="107"/>
        <v>2682.2249999999985</v>
      </c>
      <c r="U157" s="27">
        <f t="shared" si="108"/>
        <v>-161594.59218750001</v>
      </c>
      <c r="V157" s="16">
        <f t="shared" si="109"/>
        <v>0.9</v>
      </c>
      <c r="W157" s="27">
        <f t="shared" si="110"/>
        <v>2414.0024999999987</v>
      </c>
      <c r="X157" s="27">
        <f t="shared" si="111"/>
        <v>-145435.13296875</v>
      </c>
      <c r="Y157" s="27">
        <f t="shared" si="112"/>
        <v>145435.13296875</v>
      </c>
    </row>
    <row r="158" spans="1:25">
      <c r="B158" s="22">
        <v>0.4</v>
      </c>
      <c r="C158" s="23">
        <f t="shared" si="118"/>
        <v>17.142857142857146</v>
      </c>
      <c r="D158" s="29">
        <f t="shared" si="113"/>
        <v>5.3908355795148258E-2</v>
      </c>
      <c r="E158" s="36">
        <f t="shared" si="96"/>
        <v>-1.7499999999999997E-4</v>
      </c>
      <c r="F158" s="17">
        <f t="shared" si="114"/>
        <v>5.2649999999999988E-2</v>
      </c>
      <c r="G158" s="25">
        <f t="shared" si="115"/>
        <v>-3.750000000000005E-4</v>
      </c>
      <c r="H158" s="25">
        <f t="shared" si="116"/>
        <v>1.3537499999999999E-2</v>
      </c>
      <c r="I158" s="25">
        <f t="shared" si="117"/>
        <v>3.6112499999999992E-2</v>
      </c>
      <c r="J158" s="16">
        <f t="shared" si="97"/>
        <v>5.0024999999999986E-2</v>
      </c>
      <c r="K158" s="26">
        <f t="shared" si="98"/>
        <v>-10.875000000000014</v>
      </c>
      <c r="L158" s="26">
        <f t="shared" si="99"/>
        <v>80</v>
      </c>
      <c r="M158" s="26">
        <f t="shared" si="100"/>
        <v>80</v>
      </c>
      <c r="N158" s="26">
        <f t="shared" si="101"/>
        <v>80</v>
      </c>
      <c r="O158" s="27">
        <f t="shared" si="102"/>
        <v>-552.01500000000067</v>
      </c>
      <c r="P158" s="27">
        <f t="shared" si="103"/>
        <v>3715.2</v>
      </c>
      <c r="Q158" s="27">
        <f t="shared" si="104"/>
        <v>3715.2</v>
      </c>
      <c r="R158" s="27">
        <f t="shared" si="105"/>
        <v>4060.7999999999997</v>
      </c>
      <c r="S158" s="27">
        <f t="shared" si="106"/>
        <v>-10067.400000000001</v>
      </c>
      <c r="T158" s="27">
        <f t="shared" si="107"/>
        <v>871.78499999999622</v>
      </c>
      <c r="U158" s="27">
        <f t="shared" si="108"/>
        <v>-183713.13000000003</v>
      </c>
      <c r="V158" s="16">
        <f t="shared" si="109"/>
        <v>0.9</v>
      </c>
      <c r="W158" s="27">
        <f t="shared" si="110"/>
        <v>784.60649999999657</v>
      </c>
      <c r="X158" s="27">
        <f t="shared" si="111"/>
        <v>-165341.81700000004</v>
      </c>
      <c r="Y158" s="27">
        <f t="shared" si="112"/>
        <v>165341.81700000004</v>
      </c>
    </row>
    <row r="159" spans="1:25">
      <c r="B159" s="22">
        <v>0.45</v>
      </c>
      <c r="C159" s="23">
        <f t="shared" si="118"/>
        <v>19.285714285714288</v>
      </c>
      <c r="D159" s="29">
        <f t="shared" si="113"/>
        <v>6.0646900269541788E-2</v>
      </c>
      <c r="E159" s="36">
        <f t="shared" si="96"/>
        <v>-1.5555555555555554E-4</v>
      </c>
      <c r="F159" s="17">
        <f t="shared" si="114"/>
        <v>4.6466666666666663E-2</v>
      </c>
      <c r="G159" s="25">
        <f t="shared" si="115"/>
        <v>-6.6666666666666697E-4</v>
      </c>
      <c r="H159" s="25">
        <f t="shared" si="116"/>
        <v>1.1699999999999997E-2</v>
      </c>
      <c r="I159" s="25">
        <f t="shared" si="117"/>
        <v>3.1766666666666665E-2</v>
      </c>
      <c r="J159" s="16">
        <f t="shared" si="97"/>
        <v>4.413333333333333E-2</v>
      </c>
      <c r="K159" s="26">
        <f t="shared" si="98"/>
        <v>-19.333333333333343</v>
      </c>
      <c r="L159" s="26">
        <f t="shared" si="99"/>
        <v>80</v>
      </c>
      <c r="M159" s="26">
        <f t="shared" si="100"/>
        <v>80</v>
      </c>
      <c r="N159" s="26">
        <f t="shared" si="101"/>
        <v>80</v>
      </c>
      <c r="O159" s="27">
        <f t="shared" si="102"/>
        <v>-981.36000000000047</v>
      </c>
      <c r="P159" s="27">
        <f t="shared" si="103"/>
        <v>3715.2</v>
      </c>
      <c r="Q159" s="27">
        <f t="shared" si="104"/>
        <v>3715.2</v>
      </c>
      <c r="R159" s="27">
        <f t="shared" si="105"/>
        <v>4060.7999999999997</v>
      </c>
      <c r="S159" s="27">
        <f t="shared" si="106"/>
        <v>-11325.825000000003</v>
      </c>
      <c r="T159" s="27">
        <f t="shared" si="107"/>
        <v>-815.98500000000422</v>
      </c>
      <c r="U159" s="27">
        <f t="shared" si="108"/>
        <v>-204202.32468750002</v>
      </c>
      <c r="V159" s="16">
        <f t="shared" si="109"/>
        <v>0.9</v>
      </c>
      <c r="W159" s="27">
        <f t="shared" si="110"/>
        <v>-734.38650000000382</v>
      </c>
      <c r="X159" s="27">
        <f t="shared" si="111"/>
        <v>-183782.09221875001</v>
      </c>
      <c r="Y159" s="27">
        <f t="shared" si="112"/>
        <v>183782.09221875001</v>
      </c>
    </row>
    <row r="160" spans="1:25">
      <c r="B160" s="22">
        <v>0.5</v>
      </c>
      <c r="C160" s="23">
        <f t="shared" si="118"/>
        <v>21.428571428571431</v>
      </c>
      <c r="D160" s="29">
        <f t="shared" si="113"/>
        <v>6.7385444743935319E-2</v>
      </c>
      <c r="E160" s="36">
        <f t="shared" si="96"/>
        <v>-1.3999999999999999E-4</v>
      </c>
      <c r="F160" s="17">
        <f t="shared" si="114"/>
        <v>4.1519999999999994E-2</v>
      </c>
      <c r="G160" s="25">
        <f t="shared" si="115"/>
        <v>-9.0000000000000019E-4</v>
      </c>
      <c r="H160" s="25">
        <f t="shared" si="116"/>
        <v>1.023E-2</v>
      </c>
      <c r="I160" s="25">
        <f t="shared" si="117"/>
        <v>2.8289999999999996E-2</v>
      </c>
      <c r="J160" s="16">
        <f t="shared" si="97"/>
        <v>3.9419999999999997E-2</v>
      </c>
      <c r="K160" s="26">
        <f t="shared" si="98"/>
        <v>-26.100000000000005</v>
      </c>
      <c r="L160" s="26">
        <f t="shared" si="99"/>
        <v>80</v>
      </c>
      <c r="M160" s="26">
        <f t="shared" si="100"/>
        <v>80</v>
      </c>
      <c r="N160" s="26">
        <f t="shared" si="101"/>
        <v>80</v>
      </c>
      <c r="O160" s="27">
        <f t="shared" si="102"/>
        <v>-1324.8360000000002</v>
      </c>
      <c r="P160" s="27">
        <f t="shared" si="103"/>
        <v>3715.2</v>
      </c>
      <c r="Q160" s="27">
        <f t="shared" si="104"/>
        <v>3715.2</v>
      </c>
      <c r="R160" s="27">
        <f t="shared" si="105"/>
        <v>4060.7999999999997</v>
      </c>
      <c r="S160" s="27">
        <f t="shared" si="106"/>
        <v>-12584.25</v>
      </c>
      <c r="T160" s="27">
        <f t="shared" si="107"/>
        <v>-2417.8860000000004</v>
      </c>
      <c r="U160" s="27">
        <f t="shared" si="108"/>
        <v>-223503.78824999998</v>
      </c>
      <c r="V160" s="16">
        <f t="shared" si="109"/>
        <v>0.9</v>
      </c>
      <c r="W160" s="27">
        <f t="shared" si="110"/>
        <v>-2176.0974000000006</v>
      </c>
      <c r="X160" s="27">
        <f t="shared" si="111"/>
        <v>-201153.40942499999</v>
      </c>
      <c r="Y160" s="27">
        <f t="shared" si="112"/>
        <v>201153.40942499999</v>
      </c>
    </row>
    <row r="161" spans="2:25">
      <c r="B161" s="22">
        <v>0.55000000000000004</v>
      </c>
      <c r="C161" s="23">
        <f t="shared" si="118"/>
        <v>23.571428571428573</v>
      </c>
      <c r="D161" s="29">
        <f t="shared" si="113"/>
        <v>7.4123989218328842E-2</v>
      </c>
      <c r="E161" s="36">
        <f t="shared" si="96"/>
        <v>-1.2727272727272725E-4</v>
      </c>
      <c r="F161" s="17">
        <f t="shared" si="114"/>
        <v>3.7472727272727269E-2</v>
      </c>
      <c r="G161" s="25">
        <f t="shared" si="115"/>
        <v>-1.090909090909091E-3</v>
      </c>
      <c r="H161" s="25">
        <f t="shared" si="116"/>
        <v>9.0272727272727258E-3</v>
      </c>
      <c r="I161" s="25">
        <f t="shared" si="117"/>
        <v>2.5445454545454538E-2</v>
      </c>
      <c r="J161" s="16">
        <f t="shared" si="97"/>
        <v>3.556363636363636E-2</v>
      </c>
      <c r="K161" s="26">
        <f t="shared" si="98"/>
        <v>-31.636363636363637</v>
      </c>
      <c r="L161" s="26">
        <f t="shared" si="99"/>
        <v>80</v>
      </c>
      <c r="M161" s="26">
        <f t="shared" si="100"/>
        <v>80</v>
      </c>
      <c r="N161" s="26">
        <f t="shared" si="101"/>
        <v>80</v>
      </c>
      <c r="O161" s="27">
        <f t="shared" si="102"/>
        <v>-1605.8618181818181</v>
      </c>
      <c r="P161" s="27">
        <f t="shared" si="103"/>
        <v>3715.2</v>
      </c>
      <c r="Q161" s="27">
        <f t="shared" si="104"/>
        <v>3715.2</v>
      </c>
      <c r="R161" s="27">
        <f t="shared" si="105"/>
        <v>4060.7999999999997</v>
      </c>
      <c r="S161" s="27">
        <f t="shared" si="106"/>
        <v>-13842.675000000001</v>
      </c>
      <c r="T161" s="27">
        <f t="shared" si="107"/>
        <v>-3957.3368181818205</v>
      </c>
      <c r="U161" s="27">
        <f t="shared" si="108"/>
        <v>-241898.54650568185</v>
      </c>
      <c r="V161" s="16">
        <f t="shared" si="109"/>
        <v>0.9</v>
      </c>
      <c r="W161" s="27">
        <f t="shared" si="110"/>
        <v>-3561.6031363636384</v>
      </c>
      <c r="X161" s="27">
        <f t="shared" si="111"/>
        <v>-217708.69185511366</v>
      </c>
      <c r="Y161" s="27">
        <f t="shared" si="112"/>
        <v>217708.69185511366</v>
      </c>
    </row>
    <row r="162" spans="2:25">
      <c r="B162" s="22">
        <v>0.6</v>
      </c>
      <c r="C162" s="23">
        <f t="shared" si="118"/>
        <v>25.714285714285715</v>
      </c>
      <c r="D162" s="29">
        <f t="shared" si="113"/>
        <v>8.086253369272238E-2</v>
      </c>
      <c r="E162" s="36">
        <f t="shared" si="96"/>
        <v>-1.1666666666666667E-4</v>
      </c>
      <c r="F162" s="17">
        <f t="shared" si="114"/>
        <v>3.4099999999999998E-2</v>
      </c>
      <c r="G162" s="25">
        <f t="shared" si="115"/>
        <v>-1.25E-3</v>
      </c>
      <c r="H162" s="25">
        <f t="shared" si="116"/>
        <v>8.0249999999999991E-3</v>
      </c>
      <c r="I162" s="25">
        <f t="shared" si="117"/>
        <v>2.3074999999999998E-2</v>
      </c>
      <c r="J162" s="16">
        <f t="shared" si="97"/>
        <v>3.2349999999999997E-2</v>
      </c>
      <c r="K162" s="26">
        <f t="shared" si="98"/>
        <v>-36.25</v>
      </c>
      <c r="L162" s="26">
        <f t="shared" si="99"/>
        <v>80</v>
      </c>
      <c r="M162" s="26">
        <f t="shared" si="100"/>
        <v>80</v>
      </c>
      <c r="N162" s="26">
        <f t="shared" si="101"/>
        <v>80</v>
      </c>
      <c r="O162" s="27">
        <f t="shared" si="102"/>
        <v>-1840.05</v>
      </c>
      <c r="P162" s="27">
        <f t="shared" si="103"/>
        <v>3715.2</v>
      </c>
      <c r="Q162" s="27">
        <f t="shared" si="104"/>
        <v>3715.2</v>
      </c>
      <c r="R162" s="27">
        <f t="shared" si="105"/>
        <v>4060.7999999999997</v>
      </c>
      <c r="S162" s="27">
        <f t="shared" si="106"/>
        <v>-15101.1</v>
      </c>
      <c r="T162" s="27">
        <f t="shared" si="107"/>
        <v>-5449.9500000000007</v>
      </c>
      <c r="U162" s="27">
        <f t="shared" si="108"/>
        <v>-259573.95000000004</v>
      </c>
      <c r="V162" s="16">
        <f t="shared" si="109"/>
        <v>0.9</v>
      </c>
      <c r="W162" s="27">
        <f t="shared" si="110"/>
        <v>-4904.9550000000008</v>
      </c>
      <c r="X162" s="27">
        <f t="shared" si="111"/>
        <v>-233616.55500000005</v>
      </c>
      <c r="Y162" s="27">
        <f t="shared" si="112"/>
        <v>233616.55500000005</v>
      </c>
    </row>
    <row r="163" spans="2:25">
      <c r="B163" s="22">
        <v>0.65</v>
      </c>
      <c r="C163" s="23">
        <f t="shared" si="118"/>
        <v>27.857142857142861</v>
      </c>
      <c r="D163" s="29">
        <f t="shared" si="113"/>
        <v>8.7601078167115917E-2</v>
      </c>
      <c r="E163" s="36">
        <f t="shared" si="96"/>
        <v>-1.0769230769230768E-4</v>
      </c>
      <c r="F163" s="17">
        <f t="shared" si="114"/>
        <v>3.124615384615384E-2</v>
      </c>
      <c r="G163" s="25">
        <f t="shared" si="115"/>
        <v>-1.384615384615385E-3</v>
      </c>
      <c r="H163" s="25">
        <f t="shared" si="116"/>
        <v>7.1769230769230755E-3</v>
      </c>
      <c r="I163" s="25">
        <f t="shared" si="117"/>
        <v>2.1069230769230767E-2</v>
      </c>
      <c r="J163" s="16">
        <f t="shared" si="97"/>
        <v>2.9630769230769224E-2</v>
      </c>
      <c r="K163" s="26">
        <f t="shared" si="98"/>
        <v>-40.15384615384616</v>
      </c>
      <c r="L163" s="26">
        <f t="shared" si="99"/>
        <v>80</v>
      </c>
      <c r="M163" s="26">
        <f t="shared" si="100"/>
        <v>80</v>
      </c>
      <c r="N163" s="26">
        <f t="shared" si="101"/>
        <v>80</v>
      </c>
      <c r="O163" s="27">
        <f t="shared" si="102"/>
        <v>-2038.209230769231</v>
      </c>
      <c r="P163" s="27">
        <f t="shared" si="103"/>
        <v>3715.2</v>
      </c>
      <c r="Q163" s="27">
        <f t="shared" si="104"/>
        <v>3715.2</v>
      </c>
      <c r="R163" s="27">
        <f t="shared" si="105"/>
        <v>4060.7999999999997</v>
      </c>
      <c r="S163" s="27">
        <f t="shared" si="106"/>
        <v>-16359.525</v>
      </c>
      <c r="T163" s="27">
        <f t="shared" si="107"/>
        <v>-6906.5342307692317</v>
      </c>
      <c r="U163" s="27">
        <f t="shared" si="108"/>
        <v>-276659.70295673073</v>
      </c>
      <c r="V163" s="16">
        <f t="shared" si="109"/>
        <v>0.9</v>
      </c>
      <c r="W163" s="27">
        <f t="shared" si="110"/>
        <v>-6215.8808076923087</v>
      </c>
      <c r="X163" s="27">
        <f t="shared" si="111"/>
        <v>-248993.73266105767</v>
      </c>
      <c r="Y163" s="27">
        <f t="shared" si="112"/>
        <v>248993.73266105767</v>
      </c>
    </row>
    <row r="164" spans="2:25">
      <c r="B164" s="22">
        <v>0.7</v>
      </c>
      <c r="C164" s="23">
        <f t="shared" si="118"/>
        <v>30</v>
      </c>
      <c r="D164" s="29">
        <f t="shared" si="113"/>
        <v>9.4339622641509441E-2</v>
      </c>
      <c r="E164" s="36">
        <f t="shared" si="96"/>
        <v>-1E-4</v>
      </c>
      <c r="F164" s="17">
        <f t="shared" si="114"/>
        <v>2.8800000000000003E-2</v>
      </c>
      <c r="G164" s="25">
        <f t="shared" si="115"/>
        <v>-1.5E-3</v>
      </c>
      <c r="H164" s="25">
        <f t="shared" si="116"/>
        <v>6.45E-3</v>
      </c>
      <c r="I164" s="25">
        <f t="shared" si="117"/>
        <v>1.9350000000000003E-2</v>
      </c>
      <c r="J164" s="16">
        <f t="shared" si="97"/>
        <v>2.7300000000000001E-2</v>
      </c>
      <c r="K164" s="26">
        <f t="shared" si="98"/>
        <v>-43.5</v>
      </c>
      <c r="L164" s="26">
        <f t="shared" si="99"/>
        <v>80</v>
      </c>
      <c r="M164" s="26">
        <f t="shared" si="100"/>
        <v>80</v>
      </c>
      <c r="N164" s="26">
        <f t="shared" si="101"/>
        <v>80</v>
      </c>
      <c r="O164" s="27">
        <f t="shared" si="102"/>
        <v>-2208.06</v>
      </c>
      <c r="P164" s="27">
        <f t="shared" si="103"/>
        <v>3715.2</v>
      </c>
      <c r="Q164" s="27">
        <f t="shared" si="104"/>
        <v>3715.2</v>
      </c>
      <c r="R164" s="27">
        <f t="shared" si="105"/>
        <v>4060.7999999999997</v>
      </c>
      <c r="S164" s="27">
        <f t="shared" si="106"/>
        <v>-17617.95</v>
      </c>
      <c r="T164" s="27">
        <f t="shared" si="107"/>
        <v>-8334.8100000000013</v>
      </c>
      <c r="U164" s="27">
        <f t="shared" si="108"/>
        <v>-293248.45124999998</v>
      </c>
      <c r="V164" s="16">
        <f t="shared" si="109"/>
        <v>0.9</v>
      </c>
      <c r="W164" s="27">
        <f t="shared" si="110"/>
        <v>-7501.3290000000015</v>
      </c>
      <c r="X164" s="27">
        <f t="shared" si="111"/>
        <v>-263923.60612499999</v>
      </c>
      <c r="Y164" s="27">
        <f t="shared" si="112"/>
        <v>263923.60612499999</v>
      </c>
    </row>
    <row r="165" spans="2:25">
      <c r="B165" s="22">
        <v>0.75</v>
      </c>
      <c r="C165" s="23">
        <f t="shared" si="118"/>
        <v>32.142857142857139</v>
      </c>
      <c r="D165" s="29">
        <f t="shared" si="113"/>
        <v>0.10107816711590295</v>
      </c>
      <c r="E165" s="36">
        <f t="shared" si="96"/>
        <v>-9.3333333333333343E-5</v>
      </c>
      <c r="F165" s="17">
        <f t="shared" si="114"/>
        <v>2.6680000000000006E-2</v>
      </c>
      <c r="G165" s="25">
        <f t="shared" si="115"/>
        <v>-1.5999999999999999E-3</v>
      </c>
      <c r="H165" s="25">
        <f t="shared" si="116"/>
        <v>5.8200000000000014E-3</v>
      </c>
      <c r="I165" s="25">
        <f t="shared" si="117"/>
        <v>1.7860000000000001E-2</v>
      </c>
      <c r="J165" s="16">
        <f t="shared" si="97"/>
        <v>2.5280000000000007E-2</v>
      </c>
      <c r="K165" s="26">
        <f t="shared" si="98"/>
        <v>-46.4</v>
      </c>
      <c r="L165" s="26">
        <f t="shared" si="99"/>
        <v>80</v>
      </c>
      <c r="M165" s="26">
        <f t="shared" si="100"/>
        <v>80</v>
      </c>
      <c r="N165" s="26">
        <f t="shared" si="101"/>
        <v>80</v>
      </c>
      <c r="O165" s="27">
        <f t="shared" si="102"/>
        <v>-2355.2639999999997</v>
      </c>
      <c r="P165" s="27">
        <f t="shared" si="103"/>
        <v>3715.2</v>
      </c>
      <c r="Q165" s="27">
        <f t="shared" si="104"/>
        <v>3715.2</v>
      </c>
      <c r="R165" s="27">
        <f t="shared" si="105"/>
        <v>4060.7999999999997</v>
      </c>
      <c r="S165" s="27">
        <f t="shared" si="106"/>
        <v>-18876.374999999996</v>
      </c>
      <c r="T165" s="27">
        <f t="shared" si="107"/>
        <v>-9740.4389999999967</v>
      </c>
      <c r="U165" s="27">
        <f t="shared" si="108"/>
        <v>-309408.13518749992</v>
      </c>
      <c r="V165" s="16">
        <f t="shared" si="109"/>
        <v>0.9</v>
      </c>
      <c r="W165" s="27">
        <f t="shared" si="110"/>
        <v>-8766.3950999999979</v>
      </c>
      <c r="X165" s="27">
        <f t="shared" si="111"/>
        <v>-278467.32166874997</v>
      </c>
      <c r="Y165" s="27">
        <f t="shared" si="112"/>
        <v>278467.32166874997</v>
      </c>
    </row>
    <row r="166" spans="2:25">
      <c r="B166" s="22">
        <v>0.8</v>
      </c>
      <c r="C166" s="23">
        <f t="shared" si="118"/>
        <v>34.285714285714292</v>
      </c>
      <c r="D166" s="29">
        <f t="shared" si="113"/>
        <v>0.10781671159029652</v>
      </c>
      <c r="E166" s="36">
        <f t="shared" si="96"/>
        <v>-8.7499999999999986E-5</v>
      </c>
      <c r="F166" s="17">
        <f t="shared" si="114"/>
        <v>2.4824999999999996E-2</v>
      </c>
      <c r="G166" s="25">
        <f t="shared" si="115"/>
        <v>-1.6875000000000002E-3</v>
      </c>
      <c r="H166" s="25">
        <f t="shared" si="116"/>
        <v>5.2687499999999983E-3</v>
      </c>
      <c r="I166" s="25">
        <f t="shared" si="117"/>
        <v>1.6556249999999998E-2</v>
      </c>
      <c r="J166" s="16">
        <f t="shared" si="97"/>
        <v>2.3512499999999995E-2</v>
      </c>
      <c r="K166" s="26">
        <f t="shared" si="98"/>
        <v>-48.937500000000007</v>
      </c>
      <c r="L166" s="26">
        <f t="shared" si="99"/>
        <v>80</v>
      </c>
      <c r="M166" s="26">
        <f t="shared" si="100"/>
        <v>80</v>
      </c>
      <c r="N166" s="26">
        <f t="shared" si="101"/>
        <v>80</v>
      </c>
      <c r="O166" s="27">
        <f t="shared" si="102"/>
        <v>-2484.0675000000001</v>
      </c>
      <c r="P166" s="27">
        <f t="shared" si="103"/>
        <v>3715.2</v>
      </c>
      <c r="Q166" s="27">
        <f t="shared" si="104"/>
        <v>3715.2</v>
      </c>
      <c r="R166" s="27">
        <f t="shared" si="105"/>
        <v>4060.7999999999997</v>
      </c>
      <c r="S166" s="27">
        <f t="shared" si="106"/>
        <v>-20134.800000000003</v>
      </c>
      <c r="T166" s="27">
        <f t="shared" si="107"/>
        <v>-11127.667500000003</v>
      </c>
      <c r="U166" s="27">
        <f t="shared" si="108"/>
        <v>-325189.71000000002</v>
      </c>
      <c r="V166" s="16">
        <f t="shared" si="109"/>
        <v>0.9</v>
      </c>
      <c r="W166" s="27">
        <f t="shared" si="110"/>
        <v>-10014.900750000003</v>
      </c>
      <c r="X166" s="27">
        <f t="shared" si="111"/>
        <v>-292670.739</v>
      </c>
      <c r="Y166" s="27">
        <f t="shared" si="112"/>
        <v>292670.739</v>
      </c>
    </row>
    <row r="167" spans="2:25">
      <c r="B167" s="22">
        <v>0.85</v>
      </c>
      <c r="C167" s="23">
        <f t="shared" si="118"/>
        <v>36.428571428571431</v>
      </c>
      <c r="D167" s="29">
        <f t="shared" si="113"/>
        <v>0.11455525606469004</v>
      </c>
      <c r="E167" s="36">
        <f t="shared" si="96"/>
        <v>-8.2352941176470581E-5</v>
      </c>
      <c r="F167" s="17">
        <f t="shared" si="114"/>
        <v>2.3188235294117645E-2</v>
      </c>
      <c r="G167" s="25">
        <f t="shared" si="115"/>
        <v>-1.7647058823529412E-3</v>
      </c>
      <c r="H167" s="25">
        <f t="shared" si="116"/>
        <v>4.7823529411764702E-3</v>
      </c>
      <c r="I167" s="25">
        <f t="shared" si="117"/>
        <v>1.5405882352941174E-2</v>
      </c>
      <c r="J167" s="16">
        <f t="shared" si="97"/>
        <v>2.1952941176470585E-2</v>
      </c>
      <c r="K167" s="26">
        <f t="shared" si="98"/>
        <v>-51.176470588235297</v>
      </c>
      <c r="L167" s="26">
        <f t="shared" si="99"/>
        <v>80</v>
      </c>
      <c r="M167" s="26">
        <f t="shared" si="100"/>
        <v>80</v>
      </c>
      <c r="N167" s="26">
        <f t="shared" si="101"/>
        <v>80</v>
      </c>
      <c r="O167" s="27">
        <f t="shared" si="102"/>
        <v>-2597.7176470588238</v>
      </c>
      <c r="P167" s="27">
        <f t="shared" si="103"/>
        <v>3715.2</v>
      </c>
      <c r="Q167" s="27">
        <f t="shared" si="104"/>
        <v>3715.2</v>
      </c>
      <c r="R167" s="27">
        <f t="shared" si="105"/>
        <v>4060.7999999999997</v>
      </c>
      <c r="S167" s="27">
        <f t="shared" si="106"/>
        <v>-21393.225000000002</v>
      </c>
      <c r="T167" s="27">
        <f t="shared" si="107"/>
        <v>-12499.742647058827</v>
      </c>
      <c r="U167" s="27">
        <f t="shared" si="108"/>
        <v>-340632.14145220589</v>
      </c>
      <c r="V167" s="16">
        <f t="shared" si="109"/>
        <v>0.9</v>
      </c>
      <c r="W167" s="27">
        <f t="shared" si="110"/>
        <v>-11249.768382352944</v>
      </c>
      <c r="X167" s="27">
        <f t="shared" si="111"/>
        <v>-306568.92730698531</v>
      </c>
      <c r="Y167" s="27">
        <f t="shared" si="112"/>
        <v>306568.92730698531</v>
      </c>
    </row>
    <row r="168" spans="2:25">
      <c r="B168" s="22">
        <v>0.9</v>
      </c>
      <c r="C168" s="23">
        <f t="shared" si="118"/>
        <v>38.571428571428577</v>
      </c>
      <c r="D168" s="29">
        <f t="shared" si="113"/>
        <v>0.12129380053908358</v>
      </c>
      <c r="E168" s="36">
        <f t="shared" si="96"/>
        <v>-7.7777777777777768E-5</v>
      </c>
      <c r="F168" s="17">
        <f t="shared" si="114"/>
        <v>2.173333333333333E-2</v>
      </c>
      <c r="G168" s="25">
        <f t="shared" si="115"/>
        <v>-1.8333333333333335E-3</v>
      </c>
      <c r="H168" s="25">
        <f t="shared" si="116"/>
        <v>4.3499999999999988E-3</v>
      </c>
      <c r="I168" s="25">
        <f t="shared" si="117"/>
        <v>1.4383333333333331E-2</v>
      </c>
      <c r="J168" s="16">
        <f t="shared" si="97"/>
        <v>2.0566666666666664E-2</v>
      </c>
      <c r="K168" s="26">
        <f t="shared" si="98"/>
        <v>-53.166666666666671</v>
      </c>
      <c r="L168" s="26">
        <f t="shared" si="99"/>
        <v>80</v>
      </c>
      <c r="M168" s="26">
        <f t="shared" si="100"/>
        <v>80</v>
      </c>
      <c r="N168" s="26">
        <f t="shared" si="101"/>
        <v>80</v>
      </c>
      <c r="O168" s="27">
        <f t="shared" si="102"/>
        <v>-2698.7400000000002</v>
      </c>
      <c r="P168" s="27">
        <f t="shared" si="103"/>
        <v>3715.2</v>
      </c>
      <c r="Q168" s="27">
        <f t="shared" si="104"/>
        <v>3715.2</v>
      </c>
      <c r="R168" s="27">
        <f t="shared" si="105"/>
        <v>4060.7999999999997</v>
      </c>
      <c r="S168" s="27">
        <f t="shared" si="106"/>
        <v>-22651.650000000005</v>
      </c>
      <c r="T168" s="27">
        <f t="shared" si="107"/>
        <v>-13859.190000000006</v>
      </c>
      <c r="U168" s="27">
        <f t="shared" si="108"/>
        <v>-355765.73625000007</v>
      </c>
      <c r="V168" s="16">
        <f t="shared" si="109"/>
        <v>0.9</v>
      </c>
      <c r="W168" s="27">
        <f t="shared" si="110"/>
        <v>-12473.271000000006</v>
      </c>
      <c r="X168" s="27">
        <f t="shared" si="111"/>
        <v>-320189.16262500006</v>
      </c>
      <c r="Y168" s="27">
        <f t="shared" si="112"/>
        <v>320189.16262500006</v>
      </c>
    </row>
    <row r="170" spans="2:25">
      <c r="B170" s="11" t="s">
        <v>7</v>
      </c>
      <c r="D170" s="33">
        <v>1.4E-2</v>
      </c>
    </row>
    <row r="171" spans="2:25">
      <c r="B171" s="9" t="s">
        <v>8</v>
      </c>
      <c r="C171" s="9" t="s">
        <v>15</v>
      </c>
      <c r="D171" s="26">
        <f>D170*(D10*D12)</f>
        <v>59.22</v>
      </c>
    </row>
    <row r="172" spans="2:25">
      <c r="B172" s="9" t="s">
        <v>9</v>
      </c>
      <c r="C172" s="9" t="s">
        <v>15</v>
      </c>
      <c r="D172" s="26">
        <f>D170*(D11-(2*D12))/2*D13</f>
        <v>54.18</v>
      </c>
    </row>
    <row r="173" spans="2:25">
      <c r="B173" s="9" t="s">
        <v>10</v>
      </c>
      <c r="C173" s="9" t="s">
        <v>15</v>
      </c>
      <c r="D173" s="26">
        <f>D172</f>
        <v>54.18</v>
      </c>
    </row>
    <row r="174" spans="2:25">
      <c r="B174" s="9" t="s">
        <v>59</v>
      </c>
      <c r="C174" s="9" t="s">
        <v>15</v>
      </c>
      <c r="D174" s="26">
        <f>D171</f>
        <v>59.22</v>
      </c>
    </row>
    <row r="175" spans="2:25">
      <c r="B175" s="18" t="s">
        <v>61</v>
      </c>
      <c r="C175" s="18" t="s">
        <v>37</v>
      </c>
      <c r="D175" s="18" t="s">
        <v>60</v>
      </c>
      <c r="E175" s="19" t="s">
        <v>19</v>
      </c>
      <c r="F175" s="19" t="s">
        <v>20</v>
      </c>
      <c r="G175" s="19" t="s">
        <v>21</v>
      </c>
      <c r="H175" s="19" t="s">
        <v>22</v>
      </c>
      <c r="I175" s="19" t="s">
        <v>23</v>
      </c>
      <c r="J175" s="19" t="s">
        <v>51</v>
      </c>
      <c r="K175" s="19" t="s">
        <v>24</v>
      </c>
      <c r="L175" s="19" t="s">
        <v>25</v>
      </c>
      <c r="M175" s="19" t="s">
        <v>26</v>
      </c>
      <c r="N175" s="19" t="s">
        <v>52</v>
      </c>
      <c r="O175" s="19" t="s">
        <v>27</v>
      </c>
      <c r="P175" s="19" t="s">
        <v>28</v>
      </c>
      <c r="Q175" s="19" t="s">
        <v>29</v>
      </c>
      <c r="R175" s="19" t="s">
        <v>53</v>
      </c>
      <c r="S175" s="19" t="s">
        <v>30</v>
      </c>
      <c r="T175" s="19" t="s">
        <v>31</v>
      </c>
      <c r="U175" s="19" t="s">
        <v>32</v>
      </c>
      <c r="V175" s="19" t="s">
        <v>33</v>
      </c>
      <c r="W175" s="19" t="s">
        <v>34</v>
      </c>
      <c r="X175" s="19" t="s">
        <v>35</v>
      </c>
    </row>
    <row r="176" spans="2:25">
      <c r="B176" s="20"/>
      <c r="C176" s="21" t="s">
        <v>14</v>
      </c>
      <c r="D176" s="21"/>
      <c r="E176" s="21" t="s">
        <v>39</v>
      </c>
      <c r="F176" s="20"/>
      <c r="G176" s="20"/>
      <c r="H176" s="19"/>
      <c r="I176" s="19"/>
      <c r="J176" s="19"/>
      <c r="K176" s="21" t="s">
        <v>13</v>
      </c>
      <c r="L176" s="21" t="s">
        <v>13</v>
      </c>
      <c r="M176" s="21" t="s">
        <v>13</v>
      </c>
      <c r="N176" s="21"/>
      <c r="O176" s="21" t="s">
        <v>41</v>
      </c>
      <c r="P176" s="21" t="s">
        <v>41</v>
      </c>
      <c r="Q176" s="21" t="s">
        <v>41</v>
      </c>
      <c r="R176" s="21"/>
      <c r="S176" s="21" t="s">
        <v>41</v>
      </c>
      <c r="T176" s="21" t="s">
        <v>41</v>
      </c>
      <c r="U176" s="21" t="s">
        <v>42</v>
      </c>
      <c r="V176" s="21"/>
      <c r="W176" s="21" t="s">
        <v>41</v>
      </c>
      <c r="X176" s="21" t="s">
        <v>42</v>
      </c>
    </row>
    <row r="177" spans="1:25">
      <c r="A177" s="15" t="s">
        <v>36</v>
      </c>
      <c r="B177" s="22"/>
      <c r="C177" s="23"/>
      <c r="D177" s="23"/>
      <c r="E177" s="24"/>
      <c r="F177" s="17"/>
      <c r="G177" s="25"/>
      <c r="H177" s="25"/>
      <c r="I177" s="25"/>
      <c r="J177" s="25"/>
      <c r="K177" s="26"/>
      <c r="L177" s="26"/>
      <c r="M177" s="26"/>
      <c r="N177" s="26"/>
      <c r="O177" s="27"/>
      <c r="P177" s="27"/>
      <c r="Q177" s="27"/>
      <c r="R177" s="27"/>
      <c r="S177" s="27"/>
      <c r="T177" s="27"/>
      <c r="U177" s="27"/>
      <c r="V177" s="16"/>
      <c r="W177" s="27"/>
      <c r="X177" s="27"/>
    </row>
    <row r="178" spans="1:25">
      <c r="B178" s="22">
        <v>1.0000000000000001E-5</v>
      </c>
      <c r="C178" s="28">
        <f t="shared" ref="C178" si="119">B178/$D$15*$D$13</f>
        <v>4.285714285714286E-4</v>
      </c>
      <c r="D178" s="29">
        <f>C178/$D$10</f>
        <v>3.0395136778115506E-6</v>
      </c>
      <c r="E178" s="36">
        <f t="shared" ref="E178:E196" si="120">-0.003/C178</f>
        <v>-7</v>
      </c>
      <c r="F178" s="17">
        <f>E178*(C178-$D$11)</f>
        <v>2225.9969999999998</v>
      </c>
      <c r="G178" s="25">
        <f>E178*(C178-($D$20))</f>
        <v>104.997</v>
      </c>
      <c r="H178" s="25">
        <f>E178*(C178-($D$21))</f>
        <v>661.49699999999996</v>
      </c>
      <c r="I178" s="17">
        <f>E178*(C178-($D$22))</f>
        <v>1564.4970000000001</v>
      </c>
      <c r="J178" s="16">
        <f>E178*(C178-$D$23)</f>
        <v>2120.9969999999998</v>
      </c>
      <c r="K178" s="26">
        <f>SIGN(G178)*MIN($D$8*ABS(G178),$D$7)</f>
        <v>80</v>
      </c>
      <c r="L178" s="26">
        <f>SIGN(H178)*MIN($D$8*ABS(H178),$D$7)</f>
        <v>80</v>
      </c>
      <c r="M178" s="26">
        <f>SIGN(I178)*MIN($D$8*ABS(I178),$D$7)</f>
        <v>80</v>
      </c>
      <c r="N178" s="26">
        <f>SIGN(J178)*MIN($D$8*ABS(J178),$D$7)</f>
        <v>80</v>
      </c>
      <c r="O178" s="27">
        <f>$D$171*K178</f>
        <v>4737.6000000000004</v>
      </c>
      <c r="P178" s="27">
        <f>$D$172*L178</f>
        <v>4334.3999999999996</v>
      </c>
      <c r="Q178" s="27">
        <f>$D$172*M178</f>
        <v>4334.3999999999996</v>
      </c>
      <c r="R178" s="27">
        <f>N178*$D$174</f>
        <v>4737.6000000000004</v>
      </c>
      <c r="S178" s="27">
        <f>$D$15*C178*$D$10*(-0.85*$D$6)</f>
        <v>-0.25168500000000005</v>
      </c>
      <c r="T178" s="27">
        <f>SUM(O178:S178)</f>
        <v>18143.748315000001</v>
      </c>
      <c r="U178" s="27">
        <f>(S178*($D$18-$D$15*C178/2)+O178*($D$18-$D$20)+(P178*($D$18-$D$21))+(Q178*($D$18-$D$22))+R178*($D$18-$D$23))/12</f>
        <v>-3.3348231039417442</v>
      </c>
      <c r="V178" s="16">
        <f>MAX(0.65,MIN(0.9,0.65+(F178-0.002)*250/3))</f>
        <v>0.9</v>
      </c>
      <c r="W178" s="27">
        <f>V178*T178</f>
        <v>16329.373483500001</v>
      </c>
      <c r="X178" s="27">
        <f>V178*U178</f>
        <v>-3.0013407935475698</v>
      </c>
      <c r="Y178" s="27">
        <f>-X178</f>
        <v>3.0013407935475698</v>
      </c>
    </row>
    <row r="179" spans="1:25">
      <c r="B179" s="22">
        <v>0.05</v>
      </c>
      <c r="C179" s="23">
        <f>B179/$D$15*$D$13</f>
        <v>2.1428571428571432</v>
      </c>
      <c r="D179" s="29">
        <f>C179/$D$11</f>
        <v>6.7385444743935322E-3</v>
      </c>
      <c r="E179" s="36">
        <f t="shared" si="120"/>
        <v>-1.3999999999999998E-3</v>
      </c>
      <c r="F179" s="17">
        <f>E179*(C179-$D$11)</f>
        <v>0.44219999999999987</v>
      </c>
      <c r="G179" s="25">
        <f>E179*(C179-($D$20))</f>
        <v>1.7999999999999999E-2</v>
      </c>
      <c r="H179" s="25">
        <f>E179*(C179-($D$21))</f>
        <v>0.12929999999999997</v>
      </c>
      <c r="I179" s="25">
        <f>E179*(C179-($D$22))</f>
        <v>0.30989999999999995</v>
      </c>
      <c r="J179" s="16">
        <f t="shared" ref="J179:J196" si="121">E179*(C179-$D$23)</f>
        <v>0.42119999999999991</v>
      </c>
      <c r="K179" s="26">
        <f t="shared" ref="K179:K196" si="122">SIGN(G179)*MIN($D$8*ABS(G179),$D$7)</f>
        <v>80</v>
      </c>
      <c r="L179" s="26">
        <f t="shared" ref="L179:L196" si="123">SIGN(H179)*MIN($D$8*ABS(H179),$D$7)</f>
        <v>80</v>
      </c>
      <c r="M179" s="26">
        <f t="shared" ref="M179:M196" si="124">SIGN(I179)*MIN($D$8*ABS(I179),$D$7)</f>
        <v>80</v>
      </c>
      <c r="N179" s="26">
        <f t="shared" ref="N179:N196" si="125">SIGN(J179)*MIN($D$8*ABS(J179),$D$7)</f>
        <v>80</v>
      </c>
      <c r="O179" s="27">
        <f t="shared" ref="O179:O196" si="126">$D$171*K179</f>
        <v>4737.6000000000004</v>
      </c>
      <c r="P179" s="27">
        <f t="shared" ref="P179:P196" si="127">$D$172*L179</f>
        <v>4334.3999999999996</v>
      </c>
      <c r="Q179" s="27">
        <f t="shared" ref="Q179:Q196" si="128">$D$172*M179</f>
        <v>4334.3999999999996</v>
      </c>
      <c r="R179" s="27">
        <f t="shared" ref="R179:R196" si="129">N179*$D$174</f>
        <v>4737.6000000000004</v>
      </c>
      <c r="S179" s="27">
        <f t="shared" ref="S179:S196" si="130">$D$15*C179*$D$10*(-0.85*$D$6)</f>
        <v>-1258.4250000000002</v>
      </c>
      <c r="T179" s="27">
        <f t="shared" ref="T179:T196" si="131">SUM(O179:S179)</f>
        <v>16885.575000000001</v>
      </c>
      <c r="U179" s="27">
        <f t="shared" ref="U179:U196" si="132">(S179*($D$18-$D$15*C179/2)+O179*($D$18-$D$20)+(P179*($D$18-$D$21))+(Q179*($D$18-$D$22))+R179*($D$18-$D$23))/12</f>
        <v>-16595.479687500003</v>
      </c>
      <c r="V179" s="16">
        <f t="shared" ref="V179:V196" si="133">MAX(0.65,MIN(0.9,0.65+(F179-0.002)*250/3))</f>
        <v>0.9</v>
      </c>
      <c r="W179" s="27">
        <f t="shared" ref="W179:W196" si="134">V179*T179</f>
        <v>15197.017500000002</v>
      </c>
      <c r="X179" s="27">
        <f t="shared" ref="X179:X196" si="135">V179*U179</f>
        <v>-14935.931718750004</v>
      </c>
      <c r="Y179" s="27">
        <f t="shared" ref="Y179:Y196" si="136">-X179</f>
        <v>14935.931718750004</v>
      </c>
    </row>
    <row r="180" spans="1:25">
      <c r="B180" s="22">
        <v>0.1</v>
      </c>
      <c r="C180" s="23">
        <f>B180/$D$15*$D$13</f>
        <v>4.2857142857142865</v>
      </c>
      <c r="D180" s="29">
        <f t="shared" ref="D180:D196" si="137">C180/$D$11</f>
        <v>1.3477088948787064E-2</v>
      </c>
      <c r="E180" s="36">
        <f t="shared" si="120"/>
        <v>-6.9999999999999988E-4</v>
      </c>
      <c r="F180" s="17">
        <f t="shared" ref="F180:F196" si="138">E180*(C180-$D$11)</f>
        <v>0.21959999999999996</v>
      </c>
      <c r="G180" s="25">
        <f t="shared" ref="G180:G196" si="139">E180*(C180-($D$20))</f>
        <v>7.499999999999998E-3</v>
      </c>
      <c r="H180" s="25">
        <f t="shared" ref="H180:H196" si="140">E180*(C180-($D$21))</f>
        <v>6.3149999999999984E-2</v>
      </c>
      <c r="I180" s="25">
        <f t="shared" ref="I180:I196" si="141">E180*(C180-($D$22))</f>
        <v>0.15344999999999998</v>
      </c>
      <c r="J180" s="16">
        <f t="shared" si="121"/>
        <v>0.20909999999999998</v>
      </c>
      <c r="K180" s="26">
        <f t="shared" si="122"/>
        <v>80</v>
      </c>
      <c r="L180" s="26">
        <f t="shared" si="123"/>
        <v>80</v>
      </c>
      <c r="M180" s="26">
        <f t="shared" si="124"/>
        <v>80</v>
      </c>
      <c r="N180" s="26">
        <f t="shared" si="125"/>
        <v>80</v>
      </c>
      <c r="O180" s="27">
        <f t="shared" si="126"/>
        <v>4737.6000000000004</v>
      </c>
      <c r="P180" s="27">
        <f t="shared" si="127"/>
        <v>4334.3999999999996</v>
      </c>
      <c r="Q180" s="27">
        <f t="shared" si="128"/>
        <v>4334.3999999999996</v>
      </c>
      <c r="R180" s="27">
        <f t="shared" si="129"/>
        <v>4737.6000000000004</v>
      </c>
      <c r="S180" s="27">
        <f t="shared" si="130"/>
        <v>-2516.8500000000004</v>
      </c>
      <c r="T180" s="27">
        <f t="shared" si="131"/>
        <v>15627.15</v>
      </c>
      <c r="U180" s="27">
        <f t="shared" si="132"/>
        <v>-33033.656250000007</v>
      </c>
      <c r="V180" s="16">
        <f t="shared" si="133"/>
        <v>0.9</v>
      </c>
      <c r="W180" s="27">
        <f t="shared" si="134"/>
        <v>14064.434999999999</v>
      </c>
      <c r="X180" s="27">
        <f t="shared" si="135"/>
        <v>-29730.290625000009</v>
      </c>
      <c r="Y180" s="27">
        <f t="shared" si="136"/>
        <v>29730.290625000009</v>
      </c>
    </row>
    <row r="181" spans="1:25">
      <c r="B181" s="22">
        <v>0.15</v>
      </c>
      <c r="C181" s="23">
        <f>B181/$D$15*$D$13</f>
        <v>6.4285714285714288</v>
      </c>
      <c r="D181" s="29">
        <f t="shared" si="137"/>
        <v>2.0215633423180595E-2</v>
      </c>
      <c r="E181" s="36">
        <f t="shared" si="120"/>
        <v>-4.6666666666666666E-4</v>
      </c>
      <c r="F181" s="17">
        <f t="shared" si="138"/>
        <v>0.1454</v>
      </c>
      <c r="G181" s="25">
        <f t="shared" si="139"/>
        <v>4.0000000000000001E-3</v>
      </c>
      <c r="H181" s="25">
        <f t="shared" si="140"/>
        <v>4.1099999999999998E-2</v>
      </c>
      <c r="I181" s="25">
        <f t="shared" si="141"/>
        <v>0.1013</v>
      </c>
      <c r="J181" s="16">
        <f t="shared" si="121"/>
        <v>0.1384</v>
      </c>
      <c r="K181" s="26">
        <f t="shared" si="122"/>
        <v>80</v>
      </c>
      <c r="L181" s="26">
        <f t="shared" si="123"/>
        <v>80</v>
      </c>
      <c r="M181" s="26">
        <f t="shared" si="124"/>
        <v>80</v>
      </c>
      <c r="N181" s="26">
        <f t="shared" si="125"/>
        <v>80</v>
      </c>
      <c r="O181" s="27">
        <f t="shared" si="126"/>
        <v>4737.6000000000004</v>
      </c>
      <c r="P181" s="27">
        <f t="shared" si="127"/>
        <v>4334.3999999999996</v>
      </c>
      <c r="Q181" s="27">
        <f t="shared" si="128"/>
        <v>4334.3999999999996</v>
      </c>
      <c r="R181" s="27">
        <f t="shared" si="129"/>
        <v>4737.6000000000004</v>
      </c>
      <c r="S181" s="27">
        <f t="shared" si="130"/>
        <v>-3775.2750000000001</v>
      </c>
      <c r="T181" s="27">
        <f t="shared" si="131"/>
        <v>14368.725</v>
      </c>
      <c r="U181" s="27">
        <f t="shared" si="132"/>
        <v>-49314.529687500006</v>
      </c>
      <c r="V181" s="16">
        <f t="shared" si="133"/>
        <v>0.9</v>
      </c>
      <c r="W181" s="27">
        <f t="shared" si="134"/>
        <v>12931.852500000001</v>
      </c>
      <c r="X181" s="27">
        <f t="shared" si="135"/>
        <v>-44383.07671875001</v>
      </c>
      <c r="Y181" s="27">
        <f t="shared" si="136"/>
        <v>44383.07671875001</v>
      </c>
    </row>
    <row r="182" spans="1:25">
      <c r="B182" s="22">
        <v>0.2</v>
      </c>
      <c r="C182" s="23">
        <f>B182/$D$15*$D$13</f>
        <v>8.571428571428573</v>
      </c>
      <c r="D182" s="29">
        <f t="shared" si="137"/>
        <v>2.6954177897574129E-2</v>
      </c>
      <c r="E182" s="36">
        <f t="shared" si="120"/>
        <v>-3.4999999999999994E-4</v>
      </c>
      <c r="F182" s="17">
        <f t="shared" si="138"/>
        <v>0.10829999999999999</v>
      </c>
      <c r="G182" s="25">
        <f t="shared" si="139"/>
        <v>2.249999999999999E-3</v>
      </c>
      <c r="H182" s="25">
        <f t="shared" si="140"/>
        <v>3.0074999999999994E-2</v>
      </c>
      <c r="I182" s="25">
        <f t="shared" si="141"/>
        <v>7.5224999999999986E-2</v>
      </c>
      <c r="J182" s="16">
        <f t="shared" si="121"/>
        <v>0.10304999999999999</v>
      </c>
      <c r="K182" s="26">
        <f t="shared" si="122"/>
        <v>65.249999999999972</v>
      </c>
      <c r="L182" s="26">
        <f t="shared" si="123"/>
        <v>80</v>
      </c>
      <c r="M182" s="26">
        <f t="shared" si="124"/>
        <v>80</v>
      </c>
      <c r="N182" s="26">
        <f t="shared" si="125"/>
        <v>80</v>
      </c>
      <c r="O182" s="27">
        <f t="shared" si="126"/>
        <v>3864.1049999999982</v>
      </c>
      <c r="P182" s="27">
        <f t="shared" si="127"/>
        <v>4334.3999999999996</v>
      </c>
      <c r="Q182" s="27">
        <f t="shared" si="128"/>
        <v>4334.3999999999996</v>
      </c>
      <c r="R182" s="27">
        <f t="shared" si="129"/>
        <v>4737.6000000000004</v>
      </c>
      <c r="S182" s="27">
        <f t="shared" si="130"/>
        <v>-5033.7000000000007</v>
      </c>
      <c r="T182" s="27">
        <f t="shared" si="131"/>
        <v>12236.804999999997</v>
      </c>
      <c r="U182" s="27">
        <f t="shared" si="132"/>
        <v>-75920.040000000023</v>
      </c>
      <c r="V182" s="16">
        <f t="shared" si="133"/>
        <v>0.9</v>
      </c>
      <c r="W182" s="27">
        <f t="shared" si="134"/>
        <v>11013.124499999998</v>
      </c>
      <c r="X182" s="27">
        <f t="shared" si="135"/>
        <v>-68328.036000000022</v>
      </c>
      <c r="Y182" s="27">
        <f t="shared" si="136"/>
        <v>68328.036000000022</v>
      </c>
    </row>
    <row r="183" spans="1:25">
      <c r="B183" s="22">
        <v>0.25</v>
      </c>
      <c r="C183" s="23">
        <f>B183/$D$15*$D$13</f>
        <v>10.714285714285715</v>
      </c>
      <c r="D183" s="29">
        <f t="shared" si="137"/>
        <v>3.3692722371967659E-2</v>
      </c>
      <c r="E183" s="36">
        <f t="shared" si="120"/>
        <v>-2.7999999999999998E-4</v>
      </c>
      <c r="F183" s="17">
        <f t="shared" si="138"/>
        <v>8.6039999999999991E-2</v>
      </c>
      <c r="G183" s="25">
        <f t="shared" si="139"/>
        <v>1.1999999999999997E-3</v>
      </c>
      <c r="H183" s="25">
        <f t="shared" si="140"/>
        <v>2.3459999999999995E-2</v>
      </c>
      <c r="I183" s="25">
        <f t="shared" si="141"/>
        <v>5.9579999999999994E-2</v>
      </c>
      <c r="J183" s="16">
        <f t="shared" si="121"/>
        <v>8.1839999999999996E-2</v>
      </c>
      <c r="K183" s="26">
        <f t="shared" si="122"/>
        <v>34.79999999999999</v>
      </c>
      <c r="L183" s="26">
        <f t="shared" si="123"/>
        <v>80</v>
      </c>
      <c r="M183" s="26">
        <f t="shared" si="124"/>
        <v>80</v>
      </c>
      <c r="N183" s="26">
        <f t="shared" si="125"/>
        <v>80</v>
      </c>
      <c r="O183" s="27">
        <f t="shared" si="126"/>
        <v>2060.8559999999993</v>
      </c>
      <c r="P183" s="27">
        <f t="shared" si="127"/>
        <v>4334.3999999999996</v>
      </c>
      <c r="Q183" s="27">
        <f t="shared" si="128"/>
        <v>4334.3999999999996</v>
      </c>
      <c r="R183" s="27">
        <f t="shared" si="129"/>
        <v>4737.6000000000004</v>
      </c>
      <c r="S183" s="27">
        <f t="shared" si="130"/>
        <v>-6292.125</v>
      </c>
      <c r="T183" s="27">
        <f t="shared" si="131"/>
        <v>9175.1309999999994</v>
      </c>
      <c r="U183" s="27">
        <f t="shared" si="132"/>
        <v>-113525.2951875</v>
      </c>
      <c r="V183" s="16">
        <f t="shared" si="133"/>
        <v>0.9</v>
      </c>
      <c r="W183" s="27">
        <f t="shared" si="134"/>
        <v>8257.6178999999993</v>
      </c>
      <c r="X183" s="27">
        <f t="shared" si="135"/>
        <v>-102172.76566875</v>
      </c>
      <c r="Y183" s="27">
        <f t="shared" si="136"/>
        <v>102172.76566875</v>
      </c>
    </row>
    <row r="184" spans="1:25">
      <c r="B184" s="22">
        <v>0.3</v>
      </c>
      <c r="C184" s="23">
        <f t="shared" ref="C184:C196" si="142">B184/$D$15*$D$13</f>
        <v>12.857142857142858</v>
      </c>
      <c r="D184" s="29">
        <f t="shared" si="137"/>
        <v>4.043126684636119E-2</v>
      </c>
      <c r="E184" s="36">
        <f t="shared" si="120"/>
        <v>-2.3333333333333333E-4</v>
      </c>
      <c r="F184" s="17">
        <f t="shared" si="138"/>
        <v>7.1199999999999999E-2</v>
      </c>
      <c r="G184" s="25">
        <f t="shared" si="139"/>
        <v>4.999999999999999E-4</v>
      </c>
      <c r="H184" s="25">
        <f t="shared" si="140"/>
        <v>1.9049999999999997E-2</v>
      </c>
      <c r="I184" s="25">
        <f t="shared" si="141"/>
        <v>4.9149999999999999E-2</v>
      </c>
      <c r="J184" s="16">
        <f t="shared" si="121"/>
        <v>6.770000000000001E-2</v>
      </c>
      <c r="K184" s="26">
        <f t="shared" si="122"/>
        <v>14.499999999999996</v>
      </c>
      <c r="L184" s="26">
        <f t="shared" si="123"/>
        <v>80</v>
      </c>
      <c r="M184" s="26">
        <f t="shared" si="124"/>
        <v>80</v>
      </c>
      <c r="N184" s="26">
        <f t="shared" si="125"/>
        <v>80</v>
      </c>
      <c r="O184" s="27">
        <f t="shared" si="126"/>
        <v>858.68999999999983</v>
      </c>
      <c r="P184" s="27">
        <f t="shared" si="127"/>
        <v>4334.3999999999996</v>
      </c>
      <c r="Q184" s="27">
        <f t="shared" si="128"/>
        <v>4334.3999999999996</v>
      </c>
      <c r="R184" s="27">
        <f t="shared" si="129"/>
        <v>4737.6000000000004</v>
      </c>
      <c r="S184" s="27">
        <f t="shared" si="130"/>
        <v>-7550.55</v>
      </c>
      <c r="T184" s="27">
        <f t="shared" si="131"/>
        <v>6714.5399999999981</v>
      </c>
      <c r="U184" s="27">
        <f t="shared" si="132"/>
        <v>-143760.25125</v>
      </c>
      <c r="V184" s="16">
        <f t="shared" si="133"/>
        <v>0.9</v>
      </c>
      <c r="W184" s="27">
        <f t="shared" si="134"/>
        <v>6043.0859999999984</v>
      </c>
      <c r="X184" s="27">
        <f t="shared" si="135"/>
        <v>-129384.226125</v>
      </c>
      <c r="Y184" s="27">
        <f t="shared" si="136"/>
        <v>129384.226125</v>
      </c>
    </row>
    <row r="185" spans="1:25">
      <c r="B185" s="22">
        <v>0.35</v>
      </c>
      <c r="C185" s="23">
        <f t="shared" si="142"/>
        <v>15</v>
      </c>
      <c r="D185" s="29">
        <f t="shared" si="137"/>
        <v>4.716981132075472E-2</v>
      </c>
      <c r="E185" s="36">
        <f t="shared" si="120"/>
        <v>-2.0000000000000001E-4</v>
      </c>
      <c r="F185" s="17">
        <f t="shared" si="138"/>
        <v>6.0600000000000001E-2</v>
      </c>
      <c r="G185" s="25">
        <f t="shared" si="139"/>
        <v>0</v>
      </c>
      <c r="H185" s="25">
        <f t="shared" si="140"/>
        <v>1.5900000000000001E-2</v>
      </c>
      <c r="I185" s="25">
        <f t="shared" si="141"/>
        <v>4.1700000000000001E-2</v>
      </c>
      <c r="J185" s="16">
        <f t="shared" si="121"/>
        <v>5.7600000000000005E-2</v>
      </c>
      <c r="K185" s="26">
        <f t="shared" si="122"/>
        <v>0</v>
      </c>
      <c r="L185" s="26">
        <f t="shared" si="123"/>
        <v>80</v>
      </c>
      <c r="M185" s="26">
        <f t="shared" si="124"/>
        <v>80</v>
      </c>
      <c r="N185" s="26">
        <f t="shared" si="125"/>
        <v>80</v>
      </c>
      <c r="O185" s="27">
        <f t="shared" si="126"/>
        <v>0</v>
      </c>
      <c r="P185" s="27">
        <f t="shared" si="127"/>
        <v>4334.3999999999996</v>
      </c>
      <c r="Q185" s="27">
        <f t="shared" si="128"/>
        <v>4334.3999999999996</v>
      </c>
      <c r="R185" s="27">
        <f t="shared" si="129"/>
        <v>4737.6000000000004</v>
      </c>
      <c r="S185" s="27">
        <f t="shared" si="130"/>
        <v>-8808.9750000000004</v>
      </c>
      <c r="T185" s="27">
        <f t="shared" si="131"/>
        <v>4597.4249999999993</v>
      </c>
      <c r="U185" s="27">
        <f t="shared" si="132"/>
        <v>-169716.19218749998</v>
      </c>
      <c r="V185" s="16">
        <f t="shared" si="133"/>
        <v>0.9</v>
      </c>
      <c r="W185" s="27">
        <f t="shared" si="134"/>
        <v>4137.6824999999999</v>
      </c>
      <c r="X185" s="27">
        <f t="shared" si="135"/>
        <v>-152744.57296875</v>
      </c>
      <c r="Y185" s="27">
        <f t="shared" si="136"/>
        <v>152744.57296875</v>
      </c>
    </row>
    <row r="186" spans="1:25">
      <c r="B186" s="22">
        <v>0.4</v>
      </c>
      <c r="C186" s="23">
        <f t="shared" si="142"/>
        <v>17.142857142857146</v>
      </c>
      <c r="D186" s="29">
        <f t="shared" si="137"/>
        <v>5.3908355795148258E-2</v>
      </c>
      <c r="E186" s="36">
        <f t="shared" si="120"/>
        <v>-1.7499999999999997E-4</v>
      </c>
      <c r="F186" s="17">
        <f t="shared" si="138"/>
        <v>5.2649999999999988E-2</v>
      </c>
      <c r="G186" s="25">
        <f t="shared" si="139"/>
        <v>-3.750000000000005E-4</v>
      </c>
      <c r="H186" s="25">
        <f t="shared" si="140"/>
        <v>1.3537499999999999E-2</v>
      </c>
      <c r="I186" s="25">
        <f t="shared" si="141"/>
        <v>3.6112499999999992E-2</v>
      </c>
      <c r="J186" s="16">
        <f t="shared" si="121"/>
        <v>5.0024999999999986E-2</v>
      </c>
      <c r="K186" s="26">
        <f t="shared" si="122"/>
        <v>-10.875000000000014</v>
      </c>
      <c r="L186" s="26">
        <f t="shared" si="123"/>
        <v>80</v>
      </c>
      <c r="M186" s="26">
        <f t="shared" si="124"/>
        <v>80</v>
      </c>
      <c r="N186" s="26">
        <f t="shared" si="125"/>
        <v>80</v>
      </c>
      <c r="O186" s="27">
        <f t="shared" si="126"/>
        <v>-644.01750000000084</v>
      </c>
      <c r="P186" s="27">
        <f t="shared" si="127"/>
        <v>4334.3999999999996</v>
      </c>
      <c r="Q186" s="27">
        <f t="shared" si="128"/>
        <v>4334.3999999999996</v>
      </c>
      <c r="R186" s="27">
        <f t="shared" si="129"/>
        <v>4737.6000000000004</v>
      </c>
      <c r="S186" s="27">
        <f t="shared" si="130"/>
        <v>-10067.400000000001</v>
      </c>
      <c r="T186" s="27">
        <f t="shared" si="131"/>
        <v>2694.9824999999983</v>
      </c>
      <c r="U186" s="27">
        <f t="shared" si="132"/>
        <v>-192938.76</v>
      </c>
      <c r="V186" s="16">
        <f t="shared" si="133"/>
        <v>0.9</v>
      </c>
      <c r="W186" s="27">
        <f t="shared" si="134"/>
        <v>2425.4842499999986</v>
      </c>
      <c r="X186" s="27">
        <f t="shared" si="135"/>
        <v>-173644.88400000002</v>
      </c>
      <c r="Y186" s="27">
        <f t="shared" si="136"/>
        <v>173644.88400000002</v>
      </c>
    </row>
    <row r="187" spans="1:25">
      <c r="B187" s="22">
        <v>0.45</v>
      </c>
      <c r="C187" s="23">
        <f t="shared" si="142"/>
        <v>19.285714285714288</v>
      </c>
      <c r="D187" s="29">
        <f t="shared" si="137"/>
        <v>6.0646900269541788E-2</v>
      </c>
      <c r="E187" s="36">
        <f t="shared" si="120"/>
        <v>-1.5555555555555554E-4</v>
      </c>
      <c r="F187" s="17">
        <f t="shared" si="138"/>
        <v>4.6466666666666663E-2</v>
      </c>
      <c r="G187" s="25">
        <f t="shared" si="139"/>
        <v>-6.6666666666666697E-4</v>
      </c>
      <c r="H187" s="25">
        <f t="shared" si="140"/>
        <v>1.1699999999999997E-2</v>
      </c>
      <c r="I187" s="25">
        <f t="shared" si="141"/>
        <v>3.1766666666666665E-2</v>
      </c>
      <c r="J187" s="16">
        <f t="shared" si="121"/>
        <v>4.413333333333333E-2</v>
      </c>
      <c r="K187" s="26">
        <f t="shared" si="122"/>
        <v>-19.333333333333343</v>
      </c>
      <c r="L187" s="26">
        <f t="shared" si="123"/>
        <v>80</v>
      </c>
      <c r="M187" s="26">
        <f t="shared" si="124"/>
        <v>80</v>
      </c>
      <c r="N187" s="26">
        <f t="shared" si="125"/>
        <v>80</v>
      </c>
      <c r="O187" s="27">
        <f t="shared" si="126"/>
        <v>-1144.9200000000005</v>
      </c>
      <c r="P187" s="27">
        <f t="shared" si="127"/>
        <v>4334.3999999999996</v>
      </c>
      <c r="Q187" s="27">
        <f t="shared" si="128"/>
        <v>4334.3999999999996</v>
      </c>
      <c r="R187" s="27">
        <f t="shared" si="129"/>
        <v>4737.6000000000004</v>
      </c>
      <c r="S187" s="27">
        <f t="shared" si="130"/>
        <v>-11325.825000000003</v>
      </c>
      <c r="T187" s="27">
        <f t="shared" si="131"/>
        <v>935.65499999999702</v>
      </c>
      <c r="U187" s="27">
        <f t="shared" si="132"/>
        <v>-214286.64468750005</v>
      </c>
      <c r="V187" s="16">
        <f t="shared" si="133"/>
        <v>0.9</v>
      </c>
      <c r="W187" s="27">
        <f t="shared" si="134"/>
        <v>842.08949999999732</v>
      </c>
      <c r="X187" s="27">
        <f t="shared" si="135"/>
        <v>-192857.98021875005</v>
      </c>
      <c r="Y187" s="27">
        <f t="shared" si="136"/>
        <v>192857.98021875005</v>
      </c>
    </row>
    <row r="188" spans="1:25">
      <c r="B188" s="22">
        <v>0.5</v>
      </c>
      <c r="C188" s="23">
        <f t="shared" si="142"/>
        <v>21.428571428571431</v>
      </c>
      <c r="D188" s="29">
        <f t="shared" si="137"/>
        <v>6.7385444743935319E-2</v>
      </c>
      <c r="E188" s="36">
        <f t="shared" si="120"/>
        <v>-1.3999999999999999E-4</v>
      </c>
      <c r="F188" s="17">
        <f t="shared" si="138"/>
        <v>4.1519999999999994E-2</v>
      </c>
      <c r="G188" s="25">
        <f t="shared" si="139"/>
        <v>-9.0000000000000019E-4</v>
      </c>
      <c r="H188" s="25">
        <f t="shared" si="140"/>
        <v>1.023E-2</v>
      </c>
      <c r="I188" s="25">
        <f t="shared" si="141"/>
        <v>2.8289999999999996E-2</v>
      </c>
      <c r="J188" s="16">
        <f t="shared" si="121"/>
        <v>3.9419999999999997E-2</v>
      </c>
      <c r="K188" s="26">
        <f t="shared" si="122"/>
        <v>-26.100000000000005</v>
      </c>
      <c r="L188" s="26">
        <f t="shared" si="123"/>
        <v>80</v>
      </c>
      <c r="M188" s="26">
        <f t="shared" si="124"/>
        <v>80</v>
      </c>
      <c r="N188" s="26">
        <f t="shared" si="125"/>
        <v>80</v>
      </c>
      <c r="O188" s="27">
        <f t="shared" si="126"/>
        <v>-1545.6420000000003</v>
      </c>
      <c r="P188" s="27">
        <f t="shared" si="127"/>
        <v>4334.3999999999996</v>
      </c>
      <c r="Q188" s="27">
        <f t="shared" si="128"/>
        <v>4334.3999999999996</v>
      </c>
      <c r="R188" s="27">
        <f t="shared" si="129"/>
        <v>4737.6000000000004</v>
      </c>
      <c r="S188" s="27">
        <f t="shared" si="130"/>
        <v>-12584.25</v>
      </c>
      <c r="T188" s="27">
        <f t="shared" si="131"/>
        <v>-723.49200000000019</v>
      </c>
      <c r="U188" s="27">
        <f t="shared" si="132"/>
        <v>-234275.06024999998</v>
      </c>
      <c r="V188" s="16">
        <f t="shared" si="133"/>
        <v>0.9</v>
      </c>
      <c r="W188" s="27">
        <f t="shared" si="134"/>
        <v>-651.14280000000019</v>
      </c>
      <c r="X188" s="27">
        <f t="shared" si="135"/>
        <v>-210847.554225</v>
      </c>
      <c r="Y188" s="27">
        <f t="shared" si="136"/>
        <v>210847.554225</v>
      </c>
    </row>
    <row r="189" spans="1:25">
      <c r="B189" s="22">
        <v>0.55000000000000004</v>
      </c>
      <c r="C189" s="23">
        <f t="shared" si="142"/>
        <v>23.571428571428573</v>
      </c>
      <c r="D189" s="29">
        <f t="shared" si="137"/>
        <v>7.4123989218328842E-2</v>
      </c>
      <c r="E189" s="36">
        <f t="shared" si="120"/>
        <v>-1.2727272727272725E-4</v>
      </c>
      <c r="F189" s="17">
        <f t="shared" si="138"/>
        <v>3.7472727272727269E-2</v>
      </c>
      <c r="G189" s="25">
        <f t="shared" si="139"/>
        <v>-1.090909090909091E-3</v>
      </c>
      <c r="H189" s="25">
        <f t="shared" si="140"/>
        <v>9.0272727272727258E-3</v>
      </c>
      <c r="I189" s="25">
        <f t="shared" si="141"/>
        <v>2.5445454545454538E-2</v>
      </c>
      <c r="J189" s="16">
        <f t="shared" si="121"/>
        <v>3.556363636363636E-2</v>
      </c>
      <c r="K189" s="26">
        <f t="shared" si="122"/>
        <v>-31.636363636363637</v>
      </c>
      <c r="L189" s="26">
        <f t="shared" si="123"/>
        <v>80</v>
      </c>
      <c r="M189" s="26">
        <f t="shared" si="124"/>
        <v>80</v>
      </c>
      <c r="N189" s="26">
        <f t="shared" si="125"/>
        <v>80</v>
      </c>
      <c r="O189" s="27">
        <f t="shared" si="126"/>
        <v>-1873.5054545454545</v>
      </c>
      <c r="P189" s="27">
        <f t="shared" si="127"/>
        <v>4334.3999999999996</v>
      </c>
      <c r="Q189" s="27">
        <f t="shared" si="128"/>
        <v>4334.3999999999996</v>
      </c>
      <c r="R189" s="27">
        <f t="shared" si="129"/>
        <v>4737.6000000000004</v>
      </c>
      <c r="S189" s="27">
        <f t="shared" si="130"/>
        <v>-13842.675000000001</v>
      </c>
      <c r="T189" s="27">
        <f t="shared" si="131"/>
        <v>-2309.7804545454565</v>
      </c>
      <c r="U189" s="27">
        <f t="shared" si="132"/>
        <v>-253231.87014204546</v>
      </c>
      <c r="V189" s="16">
        <f t="shared" si="133"/>
        <v>0.9</v>
      </c>
      <c r="W189" s="27">
        <f t="shared" si="134"/>
        <v>-2078.8024090909107</v>
      </c>
      <c r="X189" s="27">
        <f t="shared" si="135"/>
        <v>-227908.68312784092</v>
      </c>
      <c r="Y189" s="27">
        <f t="shared" si="136"/>
        <v>227908.68312784092</v>
      </c>
    </row>
    <row r="190" spans="1:25">
      <c r="B190" s="22">
        <v>0.6</v>
      </c>
      <c r="C190" s="23">
        <f t="shared" si="142"/>
        <v>25.714285714285715</v>
      </c>
      <c r="D190" s="29">
        <f t="shared" si="137"/>
        <v>8.086253369272238E-2</v>
      </c>
      <c r="E190" s="36">
        <f t="shared" si="120"/>
        <v>-1.1666666666666667E-4</v>
      </c>
      <c r="F190" s="17">
        <f t="shared" si="138"/>
        <v>3.4099999999999998E-2</v>
      </c>
      <c r="G190" s="25">
        <f t="shared" si="139"/>
        <v>-1.25E-3</v>
      </c>
      <c r="H190" s="25">
        <f t="shared" si="140"/>
        <v>8.0249999999999991E-3</v>
      </c>
      <c r="I190" s="25">
        <f t="shared" si="141"/>
        <v>2.3074999999999998E-2</v>
      </c>
      <c r="J190" s="16">
        <f t="shared" si="121"/>
        <v>3.2349999999999997E-2</v>
      </c>
      <c r="K190" s="26">
        <f t="shared" si="122"/>
        <v>-36.25</v>
      </c>
      <c r="L190" s="26">
        <f t="shared" si="123"/>
        <v>80</v>
      </c>
      <c r="M190" s="26">
        <f t="shared" si="124"/>
        <v>80</v>
      </c>
      <c r="N190" s="26">
        <f t="shared" si="125"/>
        <v>80</v>
      </c>
      <c r="O190" s="27">
        <f t="shared" si="126"/>
        <v>-2146.7249999999999</v>
      </c>
      <c r="P190" s="27">
        <f t="shared" si="127"/>
        <v>4334.3999999999996</v>
      </c>
      <c r="Q190" s="27">
        <f t="shared" si="128"/>
        <v>4334.3999999999996</v>
      </c>
      <c r="R190" s="27">
        <f t="shared" si="129"/>
        <v>4737.6000000000004</v>
      </c>
      <c r="S190" s="27">
        <f t="shared" si="130"/>
        <v>-15101.1</v>
      </c>
      <c r="T190" s="27">
        <f t="shared" si="131"/>
        <v>-3841.4250000000011</v>
      </c>
      <c r="U190" s="27">
        <f t="shared" si="132"/>
        <v>-271375.64999999997</v>
      </c>
      <c r="V190" s="16">
        <f t="shared" si="133"/>
        <v>0.9</v>
      </c>
      <c r="W190" s="27">
        <f t="shared" si="134"/>
        <v>-3457.2825000000012</v>
      </c>
      <c r="X190" s="27">
        <f t="shared" si="135"/>
        <v>-244238.08499999996</v>
      </c>
      <c r="Y190" s="27">
        <f t="shared" si="136"/>
        <v>244238.08499999996</v>
      </c>
    </row>
    <row r="191" spans="1:25">
      <c r="B191" s="22">
        <v>0.65</v>
      </c>
      <c r="C191" s="23">
        <f t="shared" si="142"/>
        <v>27.857142857142861</v>
      </c>
      <c r="D191" s="29">
        <f t="shared" si="137"/>
        <v>8.7601078167115917E-2</v>
      </c>
      <c r="E191" s="36">
        <f t="shared" si="120"/>
        <v>-1.0769230769230768E-4</v>
      </c>
      <c r="F191" s="17">
        <f t="shared" si="138"/>
        <v>3.124615384615384E-2</v>
      </c>
      <c r="G191" s="25">
        <f t="shared" si="139"/>
        <v>-1.384615384615385E-3</v>
      </c>
      <c r="H191" s="25">
        <f t="shared" si="140"/>
        <v>7.1769230769230755E-3</v>
      </c>
      <c r="I191" s="25">
        <f t="shared" si="141"/>
        <v>2.1069230769230767E-2</v>
      </c>
      <c r="J191" s="16">
        <f t="shared" si="121"/>
        <v>2.9630769230769224E-2</v>
      </c>
      <c r="K191" s="26">
        <f t="shared" si="122"/>
        <v>-40.15384615384616</v>
      </c>
      <c r="L191" s="26">
        <f t="shared" si="123"/>
        <v>80</v>
      </c>
      <c r="M191" s="26">
        <f t="shared" si="124"/>
        <v>80</v>
      </c>
      <c r="N191" s="26">
        <f t="shared" si="125"/>
        <v>80</v>
      </c>
      <c r="O191" s="27">
        <f t="shared" si="126"/>
        <v>-2377.9107692307693</v>
      </c>
      <c r="P191" s="27">
        <f t="shared" si="127"/>
        <v>4334.3999999999996</v>
      </c>
      <c r="Q191" s="27">
        <f t="shared" si="128"/>
        <v>4334.3999999999996</v>
      </c>
      <c r="R191" s="27">
        <f t="shared" si="129"/>
        <v>4737.6000000000004</v>
      </c>
      <c r="S191" s="27">
        <f t="shared" si="130"/>
        <v>-16359.525</v>
      </c>
      <c r="T191" s="27">
        <f t="shared" si="131"/>
        <v>-5331.0357692307698</v>
      </c>
      <c r="U191" s="27">
        <f t="shared" si="132"/>
        <v>-288857.72141826921</v>
      </c>
      <c r="V191" s="16">
        <f t="shared" si="133"/>
        <v>0.9</v>
      </c>
      <c r="W191" s="27">
        <f t="shared" si="134"/>
        <v>-4797.9321923076932</v>
      </c>
      <c r="X191" s="27">
        <f t="shared" si="135"/>
        <v>-259971.94927644229</v>
      </c>
      <c r="Y191" s="27">
        <f t="shared" si="136"/>
        <v>259971.94927644229</v>
      </c>
    </row>
    <row r="192" spans="1:25">
      <c r="B192" s="22">
        <v>0.7</v>
      </c>
      <c r="C192" s="23">
        <f t="shared" si="142"/>
        <v>30</v>
      </c>
      <c r="D192" s="29">
        <f t="shared" si="137"/>
        <v>9.4339622641509441E-2</v>
      </c>
      <c r="E192" s="36">
        <f t="shared" si="120"/>
        <v>-1E-4</v>
      </c>
      <c r="F192" s="17">
        <f t="shared" si="138"/>
        <v>2.8800000000000003E-2</v>
      </c>
      <c r="G192" s="25">
        <f t="shared" si="139"/>
        <v>-1.5E-3</v>
      </c>
      <c r="H192" s="25">
        <f t="shared" si="140"/>
        <v>6.45E-3</v>
      </c>
      <c r="I192" s="25">
        <f t="shared" si="141"/>
        <v>1.9350000000000003E-2</v>
      </c>
      <c r="J192" s="16">
        <f t="shared" si="121"/>
        <v>2.7300000000000001E-2</v>
      </c>
      <c r="K192" s="26">
        <f t="shared" si="122"/>
        <v>-43.5</v>
      </c>
      <c r="L192" s="26">
        <f t="shared" si="123"/>
        <v>80</v>
      </c>
      <c r="M192" s="26">
        <f t="shared" si="124"/>
        <v>80</v>
      </c>
      <c r="N192" s="26">
        <f t="shared" si="125"/>
        <v>80</v>
      </c>
      <c r="O192" s="27">
        <f t="shared" si="126"/>
        <v>-2576.0700000000002</v>
      </c>
      <c r="P192" s="27">
        <f t="shared" si="127"/>
        <v>4334.3999999999996</v>
      </c>
      <c r="Q192" s="27">
        <f t="shared" si="128"/>
        <v>4334.3999999999996</v>
      </c>
      <c r="R192" s="27">
        <f t="shared" si="129"/>
        <v>4737.6000000000004</v>
      </c>
      <c r="S192" s="27">
        <f t="shared" si="130"/>
        <v>-17617.95</v>
      </c>
      <c r="T192" s="27">
        <f t="shared" si="131"/>
        <v>-6787.6200000000008</v>
      </c>
      <c r="U192" s="27">
        <f t="shared" si="132"/>
        <v>-305786.17125000001</v>
      </c>
      <c r="V192" s="16">
        <f t="shared" si="133"/>
        <v>0.9</v>
      </c>
      <c r="W192" s="27">
        <f t="shared" si="134"/>
        <v>-6108.8580000000011</v>
      </c>
      <c r="X192" s="27">
        <f t="shared" si="135"/>
        <v>-275207.55412500002</v>
      </c>
      <c r="Y192" s="27">
        <f t="shared" si="136"/>
        <v>275207.55412500002</v>
      </c>
    </row>
    <row r="193" spans="1:25">
      <c r="B193" s="22">
        <v>0.75</v>
      </c>
      <c r="C193" s="23">
        <f t="shared" si="142"/>
        <v>32.142857142857139</v>
      </c>
      <c r="D193" s="29">
        <f t="shared" si="137"/>
        <v>0.10107816711590295</v>
      </c>
      <c r="E193" s="36">
        <f t="shared" si="120"/>
        <v>-9.3333333333333343E-5</v>
      </c>
      <c r="F193" s="17">
        <f t="shared" si="138"/>
        <v>2.6680000000000006E-2</v>
      </c>
      <c r="G193" s="25">
        <f t="shared" si="139"/>
        <v>-1.5999999999999999E-3</v>
      </c>
      <c r="H193" s="25">
        <f t="shared" si="140"/>
        <v>5.8200000000000014E-3</v>
      </c>
      <c r="I193" s="25">
        <f t="shared" si="141"/>
        <v>1.7860000000000001E-2</v>
      </c>
      <c r="J193" s="16">
        <f t="shared" si="121"/>
        <v>2.5280000000000007E-2</v>
      </c>
      <c r="K193" s="26">
        <f t="shared" si="122"/>
        <v>-46.4</v>
      </c>
      <c r="L193" s="26">
        <f t="shared" si="123"/>
        <v>80</v>
      </c>
      <c r="M193" s="26">
        <f t="shared" si="124"/>
        <v>80</v>
      </c>
      <c r="N193" s="26">
        <f t="shared" si="125"/>
        <v>80</v>
      </c>
      <c r="O193" s="27">
        <f t="shared" si="126"/>
        <v>-2747.808</v>
      </c>
      <c r="P193" s="27">
        <f t="shared" si="127"/>
        <v>4334.3999999999996</v>
      </c>
      <c r="Q193" s="27">
        <f t="shared" si="128"/>
        <v>4334.3999999999996</v>
      </c>
      <c r="R193" s="27">
        <f t="shared" si="129"/>
        <v>4737.6000000000004</v>
      </c>
      <c r="S193" s="27">
        <f t="shared" si="130"/>
        <v>-18876.374999999996</v>
      </c>
      <c r="T193" s="27">
        <f t="shared" si="131"/>
        <v>-8217.7829999999958</v>
      </c>
      <c r="U193" s="27">
        <f t="shared" si="132"/>
        <v>-322240.26318749995</v>
      </c>
      <c r="V193" s="16">
        <f t="shared" si="133"/>
        <v>0.9</v>
      </c>
      <c r="W193" s="27">
        <f t="shared" si="134"/>
        <v>-7396.0046999999968</v>
      </c>
      <c r="X193" s="27">
        <f t="shared" si="135"/>
        <v>-290016.23686874995</v>
      </c>
      <c r="Y193" s="27">
        <f t="shared" si="136"/>
        <v>290016.23686874995</v>
      </c>
    </row>
    <row r="194" spans="1:25">
      <c r="B194" s="22">
        <v>0.8</v>
      </c>
      <c r="C194" s="23">
        <f t="shared" si="142"/>
        <v>34.285714285714292</v>
      </c>
      <c r="D194" s="29">
        <f t="shared" si="137"/>
        <v>0.10781671159029652</v>
      </c>
      <c r="E194" s="36">
        <f t="shared" si="120"/>
        <v>-8.7499999999999986E-5</v>
      </c>
      <c r="F194" s="17">
        <f t="shared" si="138"/>
        <v>2.4824999999999996E-2</v>
      </c>
      <c r="G194" s="25">
        <f t="shared" si="139"/>
        <v>-1.6875000000000002E-3</v>
      </c>
      <c r="H194" s="25">
        <f t="shared" si="140"/>
        <v>5.2687499999999983E-3</v>
      </c>
      <c r="I194" s="25">
        <f t="shared" si="141"/>
        <v>1.6556249999999998E-2</v>
      </c>
      <c r="J194" s="16">
        <f t="shared" si="121"/>
        <v>2.3512499999999995E-2</v>
      </c>
      <c r="K194" s="26">
        <f t="shared" si="122"/>
        <v>-48.937500000000007</v>
      </c>
      <c r="L194" s="26">
        <f t="shared" si="123"/>
        <v>80</v>
      </c>
      <c r="M194" s="26">
        <f t="shared" si="124"/>
        <v>80</v>
      </c>
      <c r="N194" s="26">
        <f t="shared" si="125"/>
        <v>80</v>
      </c>
      <c r="O194" s="27">
        <f t="shared" si="126"/>
        <v>-2898.0787500000006</v>
      </c>
      <c r="P194" s="27">
        <f t="shared" si="127"/>
        <v>4334.3999999999996</v>
      </c>
      <c r="Q194" s="27">
        <f t="shared" si="128"/>
        <v>4334.3999999999996</v>
      </c>
      <c r="R194" s="27">
        <f t="shared" si="129"/>
        <v>4737.6000000000004</v>
      </c>
      <c r="S194" s="27">
        <f t="shared" si="130"/>
        <v>-20134.800000000003</v>
      </c>
      <c r="T194" s="27">
        <f t="shared" si="131"/>
        <v>-9626.4787500000039</v>
      </c>
      <c r="U194" s="27">
        <f t="shared" si="132"/>
        <v>-338279.44500000001</v>
      </c>
      <c r="V194" s="16">
        <f t="shared" si="133"/>
        <v>0.9</v>
      </c>
      <c r="W194" s="27">
        <f t="shared" si="134"/>
        <v>-8663.8308750000033</v>
      </c>
      <c r="X194" s="27">
        <f t="shared" si="135"/>
        <v>-304451.50050000002</v>
      </c>
      <c r="Y194" s="27">
        <f t="shared" si="136"/>
        <v>304451.50050000002</v>
      </c>
    </row>
    <row r="195" spans="1:25">
      <c r="B195" s="22">
        <v>0.85</v>
      </c>
      <c r="C195" s="23">
        <f t="shared" si="142"/>
        <v>36.428571428571431</v>
      </c>
      <c r="D195" s="29">
        <f t="shared" si="137"/>
        <v>0.11455525606469004</v>
      </c>
      <c r="E195" s="36">
        <f t="shared" si="120"/>
        <v>-8.2352941176470581E-5</v>
      </c>
      <c r="F195" s="17">
        <f t="shared" si="138"/>
        <v>2.3188235294117645E-2</v>
      </c>
      <c r="G195" s="25">
        <f t="shared" si="139"/>
        <v>-1.7647058823529412E-3</v>
      </c>
      <c r="H195" s="25">
        <f t="shared" si="140"/>
        <v>4.7823529411764702E-3</v>
      </c>
      <c r="I195" s="25">
        <f t="shared" si="141"/>
        <v>1.5405882352941174E-2</v>
      </c>
      <c r="J195" s="16">
        <f t="shared" si="121"/>
        <v>2.1952941176470585E-2</v>
      </c>
      <c r="K195" s="26">
        <f t="shared" si="122"/>
        <v>-51.176470588235297</v>
      </c>
      <c r="L195" s="26">
        <f t="shared" si="123"/>
        <v>80</v>
      </c>
      <c r="M195" s="26">
        <f t="shared" si="124"/>
        <v>80</v>
      </c>
      <c r="N195" s="26">
        <f t="shared" si="125"/>
        <v>80</v>
      </c>
      <c r="O195" s="27">
        <f t="shared" si="126"/>
        <v>-3030.6705882352944</v>
      </c>
      <c r="P195" s="27">
        <f t="shared" si="127"/>
        <v>4334.3999999999996</v>
      </c>
      <c r="Q195" s="27">
        <f t="shared" si="128"/>
        <v>4334.3999999999996</v>
      </c>
      <c r="R195" s="27">
        <f t="shared" si="129"/>
        <v>4737.6000000000004</v>
      </c>
      <c r="S195" s="27">
        <f t="shared" si="130"/>
        <v>-21393.225000000002</v>
      </c>
      <c r="T195" s="27">
        <f t="shared" si="131"/>
        <v>-11017.495588235297</v>
      </c>
      <c r="U195" s="27">
        <f t="shared" si="132"/>
        <v>-353949.17674632353</v>
      </c>
      <c r="V195" s="16">
        <f t="shared" si="133"/>
        <v>0.9</v>
      </c>
      <c r="W195" s="27">
        <f t="shared" si="134"/>
        <v>-9915.7460294117682</v>
      </c>
      <c r="X195" s="27">
        <f t="shared" si="135"/>
        <v>-318554.25907169119</v>
      </c>
      <c r="Y195" s="27">
        <f t="shared" si="136"/>
        <v>318554.25907169119</v>
      </c>
    </row>
    <row r="196" spans="1:25">
      <c r="B196" s="22">
        <v>0.9</v>
      </c>
      <c r="C196" s="23">
        <f t="shared" si="142"/>
        <v>38.571428571428577</v>
      </c>
      <c r="D196" s="29">
        <f t="shared" si="137"/>
        <v>0.12129380053908358</v>
      </c>
      <c r="E196" s="36">
        <f t="shared" si="120"/>
        <v>-7.7777777777777768E-5</v>
      </c>
      <c r="F196" s="17">
        <f t="shared" si="138"/>
        <v>2.173333333333333E-2</v>
      </c>
      <c r="G196" s="25">
        <f t="shared" si="139"/>
        <v>-1.8333333333333335E-3</v>
      </c>
      <c r="H196" s="25">
        <f t="shared" si="140"/>
        <v>4.3499999999999988E-3</v>
      </c>
      <c r="I196" s="25">
        <f t="shared" si="141"/>
        <v>1.4383333333333331E-2</v>
      </c>
      <c r="J196" s="16">
        <f t="shared" si="121"/>
        <v>2.0566666666666664E-2</v>
      </c>
      <c r="K196" s="26">
        <f t="shared" si="122"/>
        <v>-53.166666666666671</v>
      </c>
      <c r="L196" s="26">
        <f t="shared" si="123"/>
        <v>80</v>
      </c>
      <c r="M196" s="26">
        <f t="shared" si="124"/>
        <v>80</v>
      </c>
      <c r="N196" s="26">
        <f t="shared" si="125"/>
        <v>80</v>
      </c>
      <c r="O196" s="27">
        <f t="shared" si="126"/>
        <v>-3148.53</v>
      </c>
      <c r="P196" s="27">
        <f t="shared" si="127"/>
        <v>4334.3999999999996</v>
      </c>
      <c r="Q196" s="27">
        <f t="shared" si="128"/>
        <v>4334.3999999999996</v>
      </c>
      <c r="R196" s="27">
        <f t="shared" si="129"/>
        <v>4737.6000000000004</v>
      </c>
      <c r="S196" s="27">
        <f t="shared" si="130"/>
        <v>-22651.650000000005</v>
      </c>
      <c r="T196" s="27">
        <f t="shared" si="131"/>
        <v>-12393.780000000006</v>
      </c>
      <c r="U196" s="27">
        <f t="shared" si="132"/>
        <v>-369284.81625000009</v>
      </c>
      <c r="V196" s="16">
        <f t="shared" si="133"/>
        <v>0.9</v>
      </c>
      <c r="W196" s="27">
        <f t="shared" si="134"/>
        <v>-11154.402000000006</v>
      </c>
      <c r="X196" s="27">
        <f t="shared" si="135"/>
        <v>-332356.33462500008</v>
      </c>
      <c r="Y196" s="27">
        <f t="shared" si="136"/>
        <v>332356.33462500008</v>
      </c>
    </row>
    <row r="198" spans="1:25">
      <c r="B198" s="11" t="s">
        <v>7</v>
      </c>
      <c r="D198" s="33">
        <v>1.6E-2</v>
      </c>
    </row>
    <row r="199" spans="1:25">
      <c r="B199" s="9" t="s">
        <v>8</v>
      </c>
      <c r="C199" s="9" t="s">
        <v>15</v>
      </c>
      <c r="D199" s="26">
        <f>D198*(D10*D12)</f>
        <v>67.680000000000007</v>
      </c>
    </row>
    <row r="200" spans="1:25">
      <c r="B200" s="9" t="s">
        <v>9</v>
      </c>
      <c r="C200" s="9" t="s">
        <v>15</v>
      </c>
      <c r="D200" s="26">
        <f>D198*(D11-(2*D12))/2*D13</f>
        <v>61.92</v>
      </c>
    </row>
    <row r="201" spans="1:25">
      <c r="B201" s="9" t="s">
        <v>10</v>
      </c>
      <c r="C201" s="9" t="s">
        <v>15</v>
      </c>
      <c r="D201" s="26">
        <f>D200</f>
        <v>61.92</v>
      </c>
    </row>
    <row r="202" spans="1:25">
      <c r="B202" s="9" t="s">
        <v>59</v>
      </c>
      <c r="C202" s="9" t="s">
        <v>15</v>
      </c>
      <c r="D202" s="26">
        <f>D199</f>
        <v>67.680000000000007</v>
      </c>
    </row>
    <row r="203" spans="1:25">
      <c r="B203" s="18" t="s">
        <v>61</v>
      </c>
      <c r="C203" s="18" t="s">
        <v>37</v>
      </c>
      <c r="D203" s="18" t="s">
        <v>60</v>
      </c>
      <c r="E203" s="19" t="s">
        <v>19</v>
      </c>
      <c r="F203" s="19" t="s">
        <v>20</v>
      </c>
      <c r="G203" s="19" t="s">
        <v>21</v>
      </c>
      <c r="H203" s="19" t="s">
        <v>22</v>
      </c>
      <c r="I203" s="19" t="s">
        <v>23</v>
      </c>
      <c r="J203" s="19" t="s">
        <v>51</v>
      </c>
      <c r="K203" s="19" t="s">
        <v>24</v>
      </c>
      <c r="L203" s="19" t="s">
        <v>25</v>
      </c>
      <c r="M203" s="19" t="s">
        <v>26</v>
      </c>
      <c r="N203" s="19" t="s">
        <v>52</v>
      </c>
      <c r="O203" s="19" t="s">
        <v>27</v>
      </c>
      <c r="P203" s="19" t="s">
        <v>28</v>
      </c>
      <c r="Q203" s="19" t="s">
        <v>29</v>
      </c>
      <c r="R203" s="19" t="s">
        <v>53</v>
      </c>
      <c r="S203" s="19" t="s">
        <v>30</v>
      </c>
      <c r="T203" s="19" t="s">
        <v>31</v>
      </c>
      <c r="U203" s="19" t="s">
        <v>32</v>
      </c>
      <c r="V203" s="19" t="s">
        <v>33</v>
      </c>
      <c r="W203" s="19" t="s">
        <v>34</v>
      </c>
      <c r="X203" s="19" t="s">
        <v>35</v>
      </c>
    </row>
    <row r="204" spans="1:25">
      <c r="B204" s="20"/>
      <c r="C204" s="21" t="s">
        <v>14</v>
      </c>
      <c r="D204" s="21"/>
      <c r="E204" s="21" t="s">
        <v>39</v>
      </c>
      <c r="F204" s="20"/>
      <c r="G204" s="20"/>
      <c r="H204" s="19"/>
      <c r="I204" s="19"/>
      <c r="J204" s="19"/>
      <c r="K204" s="21" t="s">
        <v>13</v>
      </c>
      <c r="L204" s="21" t="s">
        <v>13</v>
      </c>
      <c r="M204" s="21" t="s">
        <v>13</v>
      </c>
      <c r="N204" s="21"/>
      <c r="O204" s="21" t="s">
        <v>41</v>
      </c>
      <c r="P204" s="21" t="s">
        <v>41</v>
      </c>
      <c r="Q204" s="21" t="s">
        <v>41</v>
      </c>
      <c r="R204" s="21"/>
      <c r="S204" s="21" t="s">
        <v>41</v>
      </c>
      <c r="T204" s="21" t="s">
        <v>41</v>
      </c>
      <c r="U204" s="21" t="s">
        <v>42</v>
      </c>
      <c r="V204" s="21"/>
      <c r="W204" s="21" t="s">
        <v>41</v>
      </c>
      <c r="X204" s="21" t="s">
        <v>42</v>
      </c>
    </row>
    <row r="205" spans="1:25">
      <c r="A205" s="15" t="s">
        <v>36</v>
      </c>
      <c r="B205" s="22"/>
      <c r="C205" s="23"/>
      <c r="D205" s="23"/>
      <c r="E205" s="24"/>
      <c r="F205" s="17"/>
      <c r="G205" s="25"/>
      <c r="H205" s="25"/>
      <c r="I205" s="25"/>
      <c r="J205" s="25"/>
      <c r="K205" s="26"/>
      <c r="L205" s="26"/>
      <c r="M205" s="26"/>
      <c r="N205" s="26"/>
      <c r="O205" s="27"/>
      <c r="P205" s="27"/>
      <c r="Q205" s="27"/>
      <c r="R205" s="27"/>
      <c r="S205" s="27"/>
      <c r="T205" s="27"/>
      <c r="U205" s="27"/>
      <c r="V205" s="16"/>
      <c r="W205" s="27"/>
      <c r="X205" s="27"/>
    </row>
    <row r="206" spans="1:25">
      <c r="B206" s="22">
        <v>1.0000000000000001E-5</v>
      </c>
      <c r="C206" s="28">
        <f t="shared" ref="C206" si="143">B206/$D$15*$D$13</f>
        <v>4.285714285714286E-4</v>
      </c>
      <c r="D206" s="29">
        <f>C206/$D$10</f>
        <v>3.0395136778115506E-6</v>
      </c>
      <c r="E206" s="36">
        <f t="shared" ref="E206:E224" si="144">-0.003/C206</f>
        <v>-7</v>
      </c>
      <c r="F206" s="17">
        <f>E206*(C206-$D$11)</f>
        <v>2225.9969999999998</v>
      </c>
      <c r="G206" s="25">
        <f>E206*(C206-($D$20))</f>
        <v>104.997</v>
      </c>
      <c r="H206" s="25">
        <f>E206*(C206-($D$21))</f>
        <v>661.49699999999996</v>
      </c>
      <c r="I206" s="17">
        <f>E206*(C206-($D$22))</f>
        <v>1564.4970000000001</v>
      </c>
      <c r="J206" s="16">
        <f>E206*(C206-$D$23)</f>
        <v>2120.9969999999998</v>
      </c>
      <c r="K206" s="26">
        <f>SIGN(G206)*MIN($D$8*ABS(G206),$D$7)</f>
        <v>80</v>
      </c>
      <c r="L206" s="26">
        <f>SIGN(H206)*MIN($D$8*ABS(H206),$D$7)</f>
        <v>80</v>
      </c>
      <c r="M206" s="26">
        <f>SIGN(I206)*MIN($D$8*ABS(I206),$D$7)</f>
        <v>80</v>
      </c>
      <c r="N206" s="26">
        <f>SIGN(J206)*MIN($D$8*ABS(J206),$D$7)</f>
        <v>80</v>
      </c>
      <c r="O206" s="27">
        <f>$D$199*K206</f>
        <v>5414.4000000000005</v>
      </c>
      <c r="P206" s="27">
        <f>$D$200*L206</f>
        <v>4953.6000000000004</v>
      </c>
      <c r="Q206" s="27">
        <f>$D$201*M206</f>
        <v>4953.6000000000004</v>
      </c>
      <c r="R206" s="27">
        <f>N206*$D$202</f>
        <v>5414.4000000000005</v>
      </c>
      <c r="S206" s="27">
        <f>$D$15*C206*$D$10*(-0.85*$D$6)</f>
        <v>-0.25168500000000005</v>
      </c>
      <c r="T206" s="27">
        <f>SUM(O206:S206)</f>
        <v>20735.748315000001</v>
      </c>
      <c r="U206" s="27">
        <f>(S206*($D$18-$D$15*C206/2)+O206*($D$18-$D$20)+(P206*($D$18-$D$21))+(Q206*($D$18-$D$22))+R206*($D$18-$D$23))/12</f>
        <v>-3.3348231039320431</v>
      </c>
      <c r="V206" s="16">
        <f>MAX(0.65,MIN(0.9,0.65+(F206-0.002)*250/3))</f>
        <v>0.9</v>
      </c>
      <c r="W206" s="27">
        <f>V206*T206</f>
        <v>18662.173483500002</v>
      </c>
      <c r="X206" s="27">
        <f>V206*U206</f>
        <v>-3.001340793538839</v>
      </c>
      <c r="Y206" s="27">
        <f>-X206</f>
        <v>3.001340793538839</v>
      </c>
    </row>
    <row r="207" spans="1:25">
      <c r="B207" s="22">
        <v>0.05</v>
      </c>
      <c r="C207" s="23">
        <f>B207/$D$15*$D$13</f>
        <v>2.1428571428571432</v>
      </c>
      <c r="D207" s="29">
        <f>C207/$D$11</f>
        <v>6.7385444743935322E-3</v>
      </c>
      <c r="E207" s="36">
        <f t="shared" si="144"/>
        <v>-1.3999999999999998E-3</v>
      </c>
      <c r="F207" s="17">
        <f>E207*(C207-$D$11)</f>
        <v>0.44219999999999987</v>
      </c>
      <c r="G207" s="25">
        <f>E207*(C207-($D$20))</f>
        <v>1.7999999999999999E-2</v>
      </c>
      <c r="H207" s="25">
        <f>E207*(C207-($D$21))</f>
        <v>0.12929999999999997</v>
      </c>
      <c r="I207" s="25">
        <f>E207*(C207-($D$22))</f>
        <v>0.30989999999999995</v>
      </c>
      <c r="J207" s="16">
        <f t="shared" ref="J207:J224" si="145">E207*(C207-$D$23)</f>
        <v>0.42119999999999991</v>
      </c>
      <c r="K207" s="26">
        <f t="shared" ref="K207:K224" si="146">SIGN(G207)*MIN($D$8*ABS(G207),$D$7)</f>
        <v>80</v>
      </c>
      <c r="L207" s="26">
        <f t="shared" ref="L207:L224" si="147">SIGN(H207)*MIN($D$8*ABS(H207),$D$7)</f>
        <v>80</v>
      </c>
      <c r="M207" s="26">
        <f t="shared" ref="M207:M224" si="148">SIGN(I207)*MIN($D$8*ABS(I207),$D$7)</f>
        <v>80</v>
      </c>
      <c r="N207" s="26">
        <f t="shared" ref="N207:N224" si="149">SIGN(J207)*MIN($D$8*ABS(J207),$D$7)</f>
        <v>80</v>
      </c>
      <c r="O207" s="27">
        <f t="shared" ref="O207:O224" si="150">$D$199*K207</f>
        <v>5414.4000000000005</v>
      </c>
      <c r="P207" s="27">
        <f t="shared" ref="P207:P224" si="151">$D$200*L207</f>
        <v>4953.6000000000004</v>
      </c>
      <c r="Q207" s="27">
        <f t="shared" ref="Q207:Q224" si="152">$D$201*M207</f>
        <v>4953.6000000000004</v>
      </c>
      <c r="R207" s="27">
        <f t="shared" ref="R207:R224" si="153">N207*$D$202</f>
        <v>5414.4000000000005</v>
      </c>
      <c r="S207" s="27">
        <f t="shared" ref="S207:S224" si="154">$D$15*C207*$D$10*(-0.85*$D$6)</f>
        <v>-1258.4250000000002</v>
      </c>
      <c r="T207" s="27">
        <f t="shared" ref="T207:T224" si="155">SUM(O207:S207)</f>
        <v>19477.575000000001</v>
      </c>
      <c r="U207" s="27">
        <f t="shared" ref="U207:U224" si="156">(S207*($D$18-$D$15*C207/2)+O207*($D$18-$D$20)+(P207*($D$18-$D$21))+(Q207*($D$18-$D$22))+R207*($D$18-$D$23))/12</f>
        <v>-16595.479687500007</v>
      </c>
      <c r="V207" s="16">
        <f t="shared" ref="V207:V224" si="157">MAX(0.65,MIN(0.9,0.65+(F207-0.002)*250/3))</f>
        <v>0.9</v>
      </c>
      <c r="W207" s="27">
        <f t="shared" ref="W207:W224" si="158">V207*T207</f>
        <v>17529.817500000001</v>
      </c>
      <c r="X207" s="27">
        <f t="shared" ref="X207:X224" si="159">V207*U207</f>
        <v>-14935.931718750006</v>
      </c>
      <c r="Y207" s="27">
        <f t="shared" ref="Y207:Y224" si="160">-X207</f>
        <v>14935.931718750006</v>
      </c>
    </row>
    <row r="208" spans="1:25">
      <c r="B208" s="22">
        <v>0.1</v>
      </c>
      <c r="C208" s="23">
        <f>B208/$D$15*$D$13</f>
        <v>4.2857142857142865</v>
      </c>
      <c r="D208" s="29">
        <f t="shared" ref="D208:D224" si="161">C208/$D$11</f>
        <v>1.3477088948787064E-2</v>
      </c>
      <c r="E208" s="36">
        <f t="shared" si="144"/>
        <v>-6.9999999999999988E-4</v>
      </c>
      <c r="F208" s="17">
        <f t="shared" ref="F208:F224" si="162">E208*(C208-$D$11)</f>
        <v>0.21959999999999996</v>
      </c>
      <c r="G208" s="25">
        <f t="shared" ref="G208:G224" si="163">E208*(C208-($D$20))</f>
        <v>7.499999999999998E-3</v>
      </c>
      <c r="H208" s="25">
        <f t="shared" ref="H208:H224" si="164">E208*(C208-($D$21))</f>
        <v>6.3149999999999984E-2</v>
      </c>
      <c r="I208" s="25">
        <f t="shared" ref="I208:I224" si="165">E208*(C208-($D$22))</f>
        <v>0.15344999999999998</v>
      </c>
      <c r="J208" s="16">
        <f t="shared" si="145"/>
        <v>0.20909999999999998</v>
      </c>
      <c r="K208" s="26">
        <f t="shared" si="146"/>
        <v>80</v>
      </c>
      <c r="L208" s="26">
        <f t="shared" si="147"/>
        <v>80</v>
      </c>
      <c r="M208" s="26">
        <f t="shared" si="148"/>
        <v>80</v>
      </c>
      <c r="N208" s="26">
        <f t="shared" si="149"/>
        <v>80</v>
      </c>
      <c r="O208" s="27">
        <f t="shared" si="150"/>
        <v>5414.4000000000005</v>
      </c>
      <c r="P208" s="27">
        <f t="shared" si="151"/>
        <v>4953.6000000000004</v>
      </c>
      <c r="Q208" s="27">
        <f t="shared" si="152"/>
        <v>4953.6000000000004</v>
      </c>
      <c r="R208" s="27">
        <f t="shared" si="153"/>
        <v>5414.4000000000005</v>
      </c>
      <c r="S208" s="27">
        <f t="shared" si="154"/>
        <v>-2516.8500000000004</v>
      </c>
      <c r="T208" s="27">
        <f t="shared" si="155"/>
        <v>18219.150000000001</v>
      </c>
      <c r="U208" s="27">
        <f t="shared" si="156"/>
        <v>-33033.656250000007</v>
      </c>
      <c r="V208" s="16">
        <f t="shared" si="157"/>
        <v>0.9</v>
      </c>
      <c r="W208" s="27">
        <f t="shared" si="158"/>
        <v>16397.235000000001</v>
      </c>
      <c r="X208" s="27">
        <f t="shared" si="159"/>
        <v>-29730.290625000009</v>
      </c>
      <c r="Y208" s="27">
        <f t="shared" si="160"/>
        <v>29730.290625000009</v>
      </c>
    </row>
    <row r="209" spans="2:25">
      <c r="B209" s="22">
        <v>0.15</v>
      </c>
      <c r="C209" s="23">
        <f>B209/$D$15*$D$13</f>
        <v>6.4285714285714288</v>
      </c>
      <c r="D209" s="29">
        <f t="shared" si="161"/>
        <v>2.0215633423180595E-2</v>
      </c>
      <c r="E209" s="36">
        <f t="shared" si="144"/>
        <v>-4.6666666666666666E-4</v>
      </c>
      <c r="F209" s="17">
        <f t="shared" si="162"/>
        <v>0.1454</v>
      </c>
      <c r="G209" s="25">
        <f t="shared" si="163"/>
        <v>4.0000000000000001E-3</v>
      </c>
      <c r="H209" s="25">
        <f t="shared" si="164"/>
        <v>4.1099999999999998E-2</v>
      </c>
      <c r="I209" s="25">
        <f t="shared" si="165"/>
        <v>0.1013</v>
      </c>
      <c r="J209" s="16">
        <f t="shared" si="145"/>
        <v>0.1384</v>
      </c>
      <c r="K209" s="26">
        <f t="shared" si="146"/>
        <v>80</v>
      </c>
      <c r="L209" s="26">
        <f t="shared" si="147"/>
        <v>80</v>
      </c>
      <c r="M209" s="26">
        <f t="shared" si="148"/>
        <v>80</v>
      </c>
      <c r="N209" s="26">
        <f t="shared" si="149"/>
        <v>80</v>
      </c>
      <c r="O209" s="27">
        <f t="shared" si="150"/>
        <v>5414.4000000000005</v>
      </c>
      <c r="P209" s="27">
        <f t="shared" si="151"/>
        <v>4953.6000000000004</v>
      </c>
      <c r="Q209" s="27">
        <f t="shared" si="152"/>
        <v>4953.6000000000004</v>
      </c>
      <c r="R209" s="27">
        <f t="shared" si="153"/>
        <v>5414.4000000000005</v>
      </c>
      <c r="S209" s="27">
        <f t="shared" si="154"/>
        <v>-3775.2750000000001</v>
      </c>
      <c r="T209" s="27">
        <f t="shared" si="155"/>
        <v>16960.724999999999</v>
      </c>
      <c r="U209" s="27">
        <f t="shared" si="156"/>
        <v>-49314.529687500006</v>
      </c>
      <c r="V209" s="16">
        <f t="shared" si="157"/>
        <v>0.9</v>
      </c>
      <c r="W209" s="27">
        <f t="shared" si="158"/>
        <v>15264.652499999998</v>
      </c>
      <c r="X209" s="27">
        <f t="shared" si="159"/>
        <v>-44383.07671875001</v>
      </c>
      <c r="Y209" s="27">
        <f t="shared" si="160"/>
        <v>44383.07671875001</v>
      </c>
    </row>
    <row r="210" spans="2:25">
      <c r="B210" s="22">
        <v>0.2</v>
      </c>
      <c r="C210" s="23">
        <f>B210/$D$15*$D$13</f>
        <v>8.571428571428573</v>
      </c>
      <c r="D210" s="29">
        <f t="shared" si="161"/>
        <v>2.6954177897574129E-2</v>
      </c>
      <c r="E210" s="36">
        <f t="shared" si="144"/>
        <v>-3.4999999999999994E-4</v>
      </c>
      <c r="F210" s="17">
        <f t="shared" si="162"/>
        <v>0.10829999999999999</v>
      </c>
      <c r="G210" s="25">
        <f t="shared" si="163"/>
        <v>2.249999999999999E-3</v>
      </c>
      <c r="H210" s="25">
        <f t="shared" si="164"/>
        <v>3.0074999999999994E-2</v>
      </c>
      <c r="I210" s="25">
        <f t="shared" si="165"/>
        <v>7.5224999999999986E-2</v>
      </c>
      <c r="J210" s="16">
        <f t="shared" si="145"/>
        <v>0.10304999999999999</v>
      </c>
      <c r="K210" s="26">
        <f t="shared" si="146"/>
        <v>65.249999999999972</v>
      </c>
      <c r="L210" s="26">
        <f t="shared" si="147"/>
        <v>80</v>
      </c>
      <c r="M210" s="26">
        <f t="shared" si="148"/>
        <v>80</v>
      </c>
      <c r="N210" s="26">
        <f t="shared" si="149"/>
        <v>80</v>
      </c>
      <c r="O210" s="27">
        <f t="shared" si="150"/>
        <v>4416.1199999999981</v>
      </c>
      <c r="P210" s="27">
        <f t="shared" si="151"/>
        <v>4953.6000000000004</v>
      </c>
      <c r="Q210" s="27">
        <f t="shared" si="152"/>
        <v>4953.6000000000004</v>
      </c>
      <c r="R210" s="27">
        <f t="shared" si="153"/>
        <v>5414.4000000000005</v>
      </c>
      <c r="S210" s="27">
        <f t="shared" si="154"/>
        <v>-5033.7000000000007</v>
      </c>
      <c r="T210" s="27">
        <f t="shared" si="155"/>
        <v>14704.019999999997</v>
      </c>
      <c r="U210" s="27">
        <f t="shared" si="156"/>
        <v>-77417.460000000036</v>
      </c>
      <c r="V210" s="16">
        <f t="shared" si="157"/>
        <v>0.9</v>
      </c>
      <c r="W210" s="27">
        <f t="shared" si="158"/>
        <v>13233.617999999997</v>
      </c>
      <c r="X210" s="27">
        <f t="shared" si="159"/>
        <v>-69675.714000000036</v>
      </c>
      <c r="Y210" s="27">
        <f t="shared" si="160"/>
        <v>69675.714000000036</v>
      </c>
    </row>
    <row r="211" spans="2:25">
      <c r="B211" s="22">
        <v>0.25</v>
      </c>
      <c r="C211" s="23">
        <f>B211/$D$15*$D$13</f>
        <v>10.714285714285715</v>
      </c>
      <c r="D211" s="29">
        <f t="shared" si="161"/>
        <v>3.3692722371967659E-2</v>
      </c>
      <c r="E211" s="36">
        <f t="shared" si="144"/>
        <v>-2.7999999999999998E-4</v>
      </c>
      <c r="F211" s="17">
        <f t="shared" si="162"/>
        <v>8.6039999999999991E-2</v>
      </c>
      <c r="G211" s="25">
        <f t="shared" si="163"/>
        <v>1.1999999999999997E-3</v>
      </c>
      <c r="H211" s="25">
        <f t="shared" si="164"/>
        <v>2.3459999999999995E-2</v>
      </c>
      <c r="I211" s="25">
        <f t="shared" si="165"/>
        <v>5.9579999999999994E-2</v>
      </c>
      <c r="J211" s="16">
        <f t="shared" si="145"/>
        <v>8.1839999999999996E-2</v>
      </c>
      <c r="K211" s="26">
        <f t="shared" si="146"/>
        <v>34.79999999999999</v>
      </c>
      <c r="L211" s="26">
        <f t="shared" si="147"/>
        <v>80</v>
      </c>
      <c r="M211" s="26">
        <f t="shared" si="148"/>
        <v>80</v>
      </c>
      <c r="N211" s="26">
        <f t="shared" si="149"/>
        <v>80</v>
      </c>
      <c r="O211" s="27">
        <f t="shared" si="150"/>
        <v>2355.2639999999997</v>
      </c>
      <c r="P211" s="27">
        <f t="shared" si="151"/>
        <v>4953.6000000000004</v>
      </c>
      <c r="Q211" s="27">
        <f t="shared" si="152"/>
        <v>4953.6000000000004</v>
      </c>
      <c r="R211" s="27">
        <f t="shared" si="153"/>
        <v>5414.4000000000005</v>
      </c>
      <c r="S211" s="27">
        <f t="shared" si="154"/>
        <v>-6292.125</v>
      </c>
      <c r="T211" s="27">
        <f t="shared" si="155"/>
        <v>11384.739000000001</v>
      </c>
      <c r="U211" s="27">
        <f t="shared" si="156"/>
        <v>-118113.99918750003</v>
      </c>
      <c r="V211" s="16">
        <f t="shared" si="157"/>
        <v>0.9</v>
      </c>
      <c r="W211" s="27">
        <f t="shared" si="158"/>
        <v>10246.265100000002</v>
      </c>
      <c r="X211" s="27">
        <f t="shared" si="159"/>
        <v>-106302.59926875003</v>
      </c>
      <c r="Y211" s="27">
        <f t="shared" si="160"/>
        <v>106302.59926875003</v>
      </c>
    </row>
    <row r="212" spans="2:25">
      <c r="B212" s="22">
        <v>0.3</v>
      </c>
      <c r="C212" s="23">
        <f t="shared" ref="C212:C224" si="166">B212/$D$15*$D$13</f>
        <v>12.857142857142858</v>
      </c>
      <c r="D212" s="29">
        <f t="shared" si="161"/>
        <v>4.043126684636119E-2</v>
      </c>
      <c r="E212" s="36">
        <f t="shared" si="144"/>
        <v>-2.3333333333333333E-4</v>
      </c>
      <c r="F212" s="17">
        <f t="shared" si="162"/>
        <v>7.1199999999999999E-2</v>
      </c>
      <c r="G212" s="25">
        <f t="shared" si="163"/>
        <v>4.999999999999999E-4</v>
      </c>
      <c r="H212" s="25">
        <f t="shared" si="164"/>
        <v>1.9049999999999997E-2</v>
      </c>
      <c r="I212" s="25">
        <f t="shared" si="165"/>
        <v>4.9149999999999999E-2</v>
      </c>
      <c r="J212" s="16">
        <f t="shared" si="145"/>
        <v>6.770000000000001E-2</v>
      </c>
      <c r="K212" s="26">
        <f t="shared" si="146"/>
        <v>14.499999999999996</v>
      </c>
      <c r="L212" s="26">
        <f t="shared" si="147"/>
        <v>80</v>
      </c>
      <c r="M212" s="26">
        <f t="shared" si="148"/>
        <v>80</v>
      </c>
      <c r="N212" s="26">
        <f t="shared" si="149"/>
        <v>80</v>
      </c>
      <c r="O212" s="27">
        <f t="shared" si="150"/>
        <v>981.3599999999999</v>
      </c>
      <c r="P212" s="27">
        <f t="shared" si="151"/>
        <v>4953.6000000000004</v>
      </c>
      <c r="Q212" s="27">
        <f t="shared" si="152"/>
        <v>4953.6000000000004</v>
      </c>
      <c r="R212" s="27">
        <f t="shared" si="153"/>
        <v>5414.4000000000005</v>
      </c>
      <c r="S212" s="27">
        <f t="shared" si="154"/>
        <v>-7550.55</v>
      </c>
      <c r="T212" s="27">
        <f t="shared" si="155"/>
        <v>8752.4100000000035</v>
      </c>
      <c r="U212" s="27">
        <f t="shared" si="156"/>
        <v>-150409.81125</v>
      </c>
      <c r="V212" s="16">
        <f t="shared" si="157"/>
        <v>0.9</v>
      </c>
      <c r="W212" s="27">
        <f t="shared" si="158"/>
        <v>7877.1690000000035</v>
      </c>
      <c r="X212" s="27">
        <f t="shared" si="159"/>
        <v>-135368.83012500001</v>
      </c>
      <c r="Y212" s="27">
        <f t="shared" si="160"/>
        <v>135368.83012500001</v>
      </c>
    </row>
    <row r="213" spans="2:25">
      <c r="B213" s="22">
        <v>0.35</v>
      </c>
      <c r="C213" s="23">
        <f t="shared" si="166"/>
        <v>15</v>
      </c>
      <c r="D213" s="29">
        <f t="shared" si="161"/>
        <v>4.716981132075472E-2</v>
      </c>
      <c r="E213" s="36">
        <f t="shared" si="144"/>
        <v>-2.0000000000000001E-4</v>
      </c>
      <c r="F213" s="17">
        <f t="shared" si="162"/>
        <v>6.0600000000000001E-2</v>
      </c>
      <c r="G213" s="25">
        <f t="shared" si="163"/>
        <v>0</v>
      </c>
      <c r="H213" s="25">
        <f t="shared" si="164"/>
        <v>1.5900000000000001E-2</v>
      </c>
      <c r="I213" s="25">
        <f t="shared" si="165"/>
        <v>4.1700000000000001E-2</v>
      </c>
      <c r="J213" s="16">
        <f t="shared" si="145"/>
        <v>5.7600000000000005E-2</v>
      </c>
      <c r="K213" s="26">
        <f t="shared" si="146"/>
        <v>0</v>
      </c>
      <c r="L213" s="26">
        <f t="shared" si="147"/>
        <v>80</v>
      </c>
      <c r="M213" s="26">
        <f t="shared" si="148"/>
        <v>80</v>
      </c>
      <c r="N213" s="26">
        <f t="shared" si="149"/>
        <v>80</v>
      </c>
      <c r="O213" s="27">
        <f t="shared" si="150"/>
        <v>0</v>
      </c>
      <c r="P213" s="27">
        <f t="shared" si="151"/>
        <v>4953.6000000000004</v>
      </c>
      <c r="Q213" s="27">
        <f t="shared" si="152"/>
        <v>4953.6000000000004</v>
      </c>
      <c r="R213" s="27">
        <f t="shared" si="153"/>
        <v>5414.4000000000005</v>
      </c>
      <c r="S213" s="27">
        <f t="shared" si="154"/>
        <v>-8808.9750000000004</v>
      </c>
      <c r="T213" s="27">
        <f t="shared" si="155"/>
        <v>6512.6250000000018</v>
      </c>
      <c r="U213" s="27">
        <f t="shared" si="156"/>
        <v>-177837.79218750002</v>
      </c>
      <c r="V213" s="16">
        <f t="shared" si="157"/>
        <v>0.9</v>
      </c>
      <c r="W213" s="27">
        <f t="shared" si="158"/>
        <v>5861.362500000002</v>
      </c>
      <c r="X213" s="27">
        <f t="shared" si="159"/>
        <v>-160054.01296875003</v>
      </c>
      <c r="Y213" s="27">
        <f t="shared" si="160"/>
        <v>160054.01296875003</v>
      </c>
    </row>
    <row r="214" spans="2:25">
      <c r="B214" s="22">
        <v>0.4</v>
      </c>
      <c r="C214" s="23">
        <f t="shared" si="166"/>
        <v>17.142857142857146</v>
      </c>
      <c r="D214" s="29">
        <f t="shared" si="161"/>
        <v>5.3908355795148258E-2</v>
      </c>
      <c r="E214" s="36">
        <f t="shared" si="144"/>
        <v>-1.7499999999999997E-4</v>
      </c>
      <c r="F214" s="17">
        <f t="shared" si="162"/>
        <v>5.2649999999999988E-2</v>
      </c>
      <c r="G214" s="25">
        <f t="shared" si="163"/>
        <v>-3.750000000000005E-4</v>
      </c>
      <c r="H214" s="25">
        <f t="shared" si="164"/>
        <v>1.3537499999999999E-2</v>
      </c>
      <c r="I214" s="25">
        <f t="shared" si="165"/>
        <v>3.6112499999999992E-2</v>
      </c>
      <c r="J214" s="16">
        <f t="shared" si="145"/>
        <v>5.0024999999999986E-2</v>
      </c>
      <c r="K214" s="26">
        <f t="shared" si="146"/>
        <v>-10.875000000000014</v>
      </c>
      <c r="L214" s="26">
        <f t="shared" si="147"/>
        <v>80</v>
      </c>
      <c r="M214" s="26">
        <f t="shared" si="148"/>
        <v>80</v>
      </c>
      <c r="N214" s="26">
        <f t="shared" si="149"/>
        <v>80</v>
      </c>
      <c r="O214" s="27">
        <f t="shared" si="150"/>
        <v>-736.020000000001</v>
      </c>
      <c r="P214" s="27">
        <f t="shared" si="151"/>
        <v>4953.6000000000004</v>
      </c>
      <c r="Q214" s="27">
        <f t="shared" si="152"/>
        <v>4953.6000000000004</v>
      </c>
      <c r="R214" s="27">
        <f t="shared" si="153"/>
        <v>5414.4000000000005</v>
      </c>
      <c r="S214" s="27">
        <f t="shared" si="154"/>
        <v>-10067.400000000001</v>
      </c>
      <c r="T214" s="27">
        <f t="shared" si="155"/>
        <v>4518.18</v>
      </c>
      <c r="U214" s="27">
        <f t="shared" si="156"/>
        <v>-202164.39000000004</v>
      </c>
      <c r="V214" s="16">
        <f t="shared" si="157"/>
        <v>0.9</v>
      </c>
      <c r="W214" s="27">
        <f t="shared" si="158"/>
        <v>4066.3620000000005</v>
      </c>
      <c r="X214" s="27">
        <f t="shared" si="159"/>
        <v>-181947.95100000003</v>
      </c>
      <c r="Y214" s="27">
        <f t="shared" si="160"/>
        <v>181947.95100000003</v>
      </c>
    </row>
    <row r="215" spans="2:25">
      <c r="B215" s="22">
        <v>0.45</v>
      </c>
      <c r="C215" s="23">
        <f t="shared" si="166"/>
        <v>19.285714285714288</v>
      </c>
      <c r="D215" s="29">
        <f t="shared" si="161"/>
        <v>6.0646900269541788E-2</v>
      </c>
      <c r="E215" s="36">
        <f t="shared" si="144"/>
        <v>-1.5555555555555554E-4</v>
      </c>
      <c r="F215" s="17">
        <f t="shared" si="162"/>
        <v>4.6466666666666663E-2</v>
      </c>
      <c r="G215" s="25">
        <f t="shared" si="163"/>
        <v>-6.6666666666666697E-4</v>
      </c>
      <c r="H215" s="25">
        <f t="shared" si="164"/>
        <v>1.1699999999999997E-2</v>
      </c>
      <c r="I215" s="25">
        <f t="shared" si="165"/>
        <v>3.1766666666666665E-2</v>
      </c>
      <c r="J215" s="16">
        <f t="shared" si="145"/>
        <v>4.413333333333333E-2</v>
      </c>
      <c r="K215" s="26">
        <f t="shared" si="146"/>
        <v>-19.333333333333343</v>
      </c>
      <c r="L215" s="26">
        <f t="shared" si="147"/>
        <v>80</v>
      </c>
      <c r="M215" s="26">
        <f t="shared" si="148"/>
        <v>80</v>
      </c>
      <c r="N215" s="26">
        <f t="shared" si="149"/>
        <v>80</v>
      </c>
      <c r="O215" s="27">
        <f t="shared" si="150"/>
        <v>-1308.4800000000007</v>
      </c>
      <c r="P215" s="27">
        <f t="shared" si="151"/>
        <v>4953.6000000000004</v>
      </c>
      <c r="Q215" s="27">
        <f t="shared" si="152"/>
        <v>4953.6000000000004</v>
      </c>
      <c r="R215" s="27">
        <f t="shared" si="153"/>
        <v>5414.4000000000005</v>
      </c>
      <c r="S215" s="27">
        <f t="shared" si="154"/>
        <v>-11325.825000000003</v>
      </c>
      <c r="T215" s="27">
        <f t="shared" si="155"/>
        <v>2687.2950000000001</v>
      </c>
      <c r="U215" s="27">
        <f t="shared" si="156"/>
        <v>-224370.96468750006</v>
      </c>
      <c r="V215" s="16">
        <f t="shared" si="157"/>
        <v>0.9</v>
      </c>
      <c r="W215" s="27">
        <f t="shared" si="158"/>
        <v>2418.5655000000002</v>
      </c>
      <c r="X215" s="27">
        <f t="shared" si="159"/>
        <v>-201933.86821875005</v>
      </c>
      <c r="Y215" s="27">
        <f t="shared" si="160"/>
        <v>201933.86821875005</v>
      </c>
    </row>
    <row r="216" spans="2:25">
      <c r="B216" s="22">
        <v>0.5</v>
      </c>
      <c r="C216" s="23">
        <f t="shared" si="166"/>
        <v>21.428571428571431</v>
      </c>
      <c r="D216" s="29">
        <f t="shared" si="161"/>
        <v>6.7385444743935319E-2</v>
      </c>
      <c r="E216" s="36">
        <f t="shared" si="144"/>
        <v>-1.3999999999999999E-4</v>
      </c>
      <c r="F216" s="17">
        <f t="shared" si="162"/>
        <v>4.1519999999999994E-2</v>
      </c>
      <c r="G216" s="25">
        <f t="shared" si="163"/>
        <v>-9.0000000000000019E-4</v>
      </c>
      <c r="H216" s="25">
        <f t="shared" si="164"/>
        <v>1.023E-2</v>
      </c>
      <c r="I216" s="25">
        <f t="shared" si="165"/>
        <v>2.8289999999999996E-2</v>
      </c>
      <c r="J216" s="16">
        <f t="shared" si="145"/>
        <v>3.9419999999999997E-2</v>
      </c>
      <c r="K216" s="26">
        <f t="shared" si="146"/>
        <v>-26.100000000000005</v>
      </c>
      <c r="L216" s="26">
        <f t="shared" si="147"/>
        <v>80</v>
      </c>
      <c r="M216" s="26">
        <f t="shared" si="148"/>
        <v>80</v>
      </c>
      <c r="N216" s="26">
        <f t="shared" si="149"/>
        <v>80</v>
      </c>
      <c r="O216" s="27">
        <f t="shared" si="150"/>
        <v>-1766.4480000000005</v>
      </c>
      <c r="P216" s="27">
        <f t="shared" si="151"/>
        <v>4953.6000000000004</v>
      </c>
      <c r="Q216" s="27">
        <f t="shared" si="152"/>
        <v>4953.6000000000004</v>
      </c>
      <c r="R216" s="27">
        <f t="shared" si="153"/>
        <v>5414.4000000000005</v>
      </c>
      <c r="S216" s="27">
        <f t="shared" si="154"/>
        <v>-12584.25</v>
      </c>
      <c r="T216" s="27">
        <f t="shared" si="155"/>
        <v>970.90200000000186</v>
      </c>
      <c r="U216" s="27">
        <f t="shared" si="156"/>
        <v>-245046.33225000001</v>
      </c>
      <c r="V216" s="16">
        <f t="shared" si="157"/>
        <v>0.9</v>
      </c>
      <c r="W216" s="27">
        <f t="shared" si="158"/>
        <v>873.81180000000165</v>
      </c>
      <c r="X216" s="27">
        <f t="shared" si="159"/>
        <v>-220541.69902500001</v>
      </c>
      <c r="Y216" s="27">
        <f t="shared" si="160"/>
        <v>220541.69902500001</v>
      </c>
    </row>
    <row r="217" spans="2:25">
      <c r="B217" s="22">
        <v>0.55000000000000004</v>
      </c>
      <c r="C217" s="23">
        <f t="shared" si="166"/>
        <v>23.571428571428573</v>
      </c>
      <c r="D217" s="29">
        <f t="shared" si="161"/>
        <v>7.4123989218328842E-2</v>
      </c>
      <c r="E217" s="36">
        <f t="shared" si="144"/>
        <v>-1.2727272727272725E-4</v>
      </c>
      <c r="F217" s="17">
        <f t="shared" si="162"/>
        <v>3.7472727272727269E-2</v>
      </c>
      <c r="G217" s="25">
        <f t="shared" si="163"/>
        <v>-1.090909090909091E-3</v>
      </c>
      <c r="H217" s="25">
        <f t="shared" si="164"/>
        <v>9.0272727272727258E-3</v>
      </c>
      <c r="I217" s="25">
        <f t="shared" si="165"/>
        <v>2.5445454545454538E-2</v>
      </c>
      <c r="J217" s="16">
        <f t="shared" si="145"/>
        <v>3.556363636363636E-2</v>
      </c>
      <c r="K217" s="26">
        <f t="shared" si="146"/>
        <v>-31.636363636363637</v>
      </c>
      <c r="L217" s="26">
        <f t="shared" si="147"/>
        <v>80</v>
      </c>
      <c r="M217" s="26">
        <f t="shared" si="148"/>
        <v>80</v>
      </c>
      <c r="N217" s="26">
        <f t="shared" si="149"/>
        <v>80</v>
      </c>
      <c r="O217" s="27">
        <f t="shared" si="150"/>
        <v>-2141.1490909090912</v>
      </c>
      <c r="P217" s="27">
        <f t="shared" si="151"/>
        <v>4953.6000000000004</v>
      </c>
      <c r="Q217" s="27">
        <f t="shared" si="152"/>
        <v>4953.6000000000004</v>
      </c>
      <c r="R217" s="27">
        <f t="shared" si="153"/>
        <v>5414.4000000000005</v>
      </c>
      <c r="S217" s="27">
        <f t="shared" si="154"/>
        <v>-13842.675000000001</v>
      </c>
      <c r="T217" s="27">
        <f t="shared" si="155"/>
        <v>-662.22409090909241</v>
      </c>
      <c r="U217" s="27">
        <f t="shared" si="156"/>
        <v>-264565.1937784091</v>
      </c>
      <c r="V217" s="16">
        <f t="shared" si="157"/>
        <v>0.9</v>
      </c>
      <c r="W217" s="27">
        <f t="shared" si="158"/>
        <v>-596.00168181818322</v>
      </c>
      <c r="X217" s="27">
        <f t="shared" si="159"/>
        <v>-238108.67440056818</v>
      </c>
      <c r="Y217" s="27">
        <f t="shared" si="160"/>
        <v>238108.67440056818</v>
      </c>
    </row>
    <row r="218" spans="2:25">
      <c r="B218" s="22">
        <v>0.6</v>
      </c>
      <c r="C218" s="23">
        <f t="shared" si="166"/>
        <v>25.714285714285715</v>
      </c>
      <c r="D218" s="29">
        <f t="shared" si="161"/>
        <v>8.086253369272238E-2</v>
      </c>
      <c r="E218" s="36">
        <f t="shared" si="144"/>
        <v>-1.1666666666666667E-4</v>
      </c>
      <c r="F218" s="17">
        <f t="shared" si="162"/>
        <v>3.4099999999999998E-2</v>
      </c>
      <c r="G218" s="25">
        <f t="shared" si="163"/>
        <v>-1.25E-3</v>
      </c>
      <c r="H218" s="25">
        <f t="shared" si="164"/>
        <v>8.0249999999999991E-3</v>
      </c>
      <c r="I218" s="25">
        <f t="shared" si="165"/>
        <v>2.3074999999999998E-2</v>
      </c>
      <c r="J218" s="16">
        <f t="shared" si="145"/>
        <v>3.2349999999999997E-2</v>
      </c>
      <c r="K218" s="26">
        <f t="shared" si="146"/>
        <v>-36.25</v>
      </c>
      <c r="L218" s="26">
        <f t="shared" si="147"/>
        <v>80</v>
      </c>
      <c r="M218" s="26">
        <f t="shared" si="148"/>
        <v>80</v>
      </c>
      <c r="N218" s="26">
        <f t="shared" si="149"/>
        <v>80</v>
      </c>
      <c r="O218" s="27">
        <f t="shared" si="150"/>
        <v>-2453.4</v>
      </c>
      <c r="P218" s="27">
        <f t="shared" si="151"/>
        <v>4953.6000000000004</v>
      </c>
      <c r="Q218" s="27">
        <f t="shared" si="152"/>
        <v>4953.6000000000004</v>
      </c>
      <c r="R218" s="27">
        <f t="shared" si="153"/>
        <v>5414.4000000000005</v>
      </c>
      <c r="S218" s="27">
        <f t="shared" si="154"/>
        <v>-15101.1</v>
      </c>
      <c r="T218" s="27">
        <f t="shared" si="155"/>
        <v>-2232.8999999999996</v>
      </c>
      <c r="U218" s="27">
        <f t="shared" si="156"/>
        <v>-283177.35000000003</v>
      </c>
      <c r="V218" s="16">
        <f t="shared" si="157"/>
        <v>0.9</v>
      </c>
      <c r="W218" s="27">
        <f t="shared" si="158"/>
        <v>-2009.6099999999997</v>
      </c>
      <c r="X218" s="27">
        <f t="shared" si="159"/>
        <v>-254859.61500000005</v>
      </c>
      <c r="Y218" s="27">
        <f t="shared" si="160"/>
        <v>254859.61500000005</v>
      </c>
    </row>
    <row r="219" spans="2:25">
      <c r="B219" s="22">
        <v>0.65</v>
      </c>
      <c r="C219" s="23">
        <f t="shared" si="166"/>
        <v>27.857142857142861</v>
      </c>
      <c r="D219" s="29">
        <f t="shared" si="161"/>
        <v>8.7601078167115917E-2</v>
      </c>
      <c r="E219" s="36">
        <f t="shared" si="144"/>
        <v>-1.0769230769230768E-4</v>
      </c>
      <c r="F219" s="17">
        <f t="shared" si="162"/>
        <v>3.124615384615384E-2</v>
      </c>
      <c r="G219" s="25">
        <f t="shared" si="163"/>
        <v>-1.384615384615385E-3</v>
      </c>
      <c r="H219" s="25">
        <f t="shared" si="164"/>
        <v>7.1769230769230755E-3</v>
      </c>
      <c r="I219" s="25">
        <f t="shared" si="165"/>
        <v>2.1069230769230767E-2</v>
      </c>
      <c r="J219" s="16">
        <f t="shared" si="145"/>
        <v>2.9630769230769224E-2</v>
      </c>
      <c r="K219" s="26">
        <f t="shared" si="146"/>
        <v>-40.15384615384616</v>
      </c>
      <c r="L219" s="26">
        <f t="shared" si="147"/>
        <v>80</v>
      </c>
      <c r="M219" s="26">
        <f t="shared" si="148"/>
        <v>80</v>
      </c>
      <c r="N219" s="26">
        <f t="shared" si="149"/>
        <v>80</v>
      </c>
      <c r="O219" s="27">
        <f t="shared" si="150"/>
        <v>-2717.6123076923086</v>
      </c>
      <c r="P219" s="27">
        <f t="shared" si="151"/>
        <v>4953.6000000000004</v>
      </c>
      <c r="Q219" s="27">
        <f t="shared" si="152"/>
        <v>4953.6000000000004</v>
      </c>
      <c r="R219" s="27">
        <f t="shared" si="153"/>
        <v>5414.4000000000005</v>
      </c>
      <c r="S219" s="27">
        <f t="shared" si="154"/>
        <v>-16359.525</v>
      </c>
      <c r="T219" s="27">
        <f t="shared" si="155"/>
        <v>-3755.5373076923079</v>
      </c>
      <c r="U219" s="27">
        <f t="shared" si="156"/>
        <v>-301055.73987980769</v>
      </c>
      <c r="V219" s="16">
        <f t="shared" si="157"/>
        <v>0.9</v>
      </c>
      <c r="W219" s="27">
        <f t="shared" si="158"/>
        <v>-3379.9835769230772</v>
      </c>
      <c r="X219" s="27">
        <f t="shared" si="159"/>
        <v>-270950.16589182691</v>
      </c>
      <c r="Y219" s="27">
        <f t="shared" si="160"/>
        <v>270950.16589182691</v>
      </c>
    </row>
    <row r="220" spans="2:25">
      <c r="B220" s="22">
        <v>0.7</v>
      </c>
      <c r="C220" s="23">
        <f t="shared" si="166"/>
        <v>30</v>
      </c>
      <c r="D220" s="29">
        <f t="shared" si="161"/>
        <v>9.4339622641509441E-2</v>
      </c>
      <c r="E220" s="36">
        <f t="shared" si="144"/>
        <v>-1E-4</v>
      </c>
      <c r="F220" s="17">
        <f t="shared" si="162"/>
        <v>2.8800000000000003E-2</v>
      </c>
      <c r="G220" s="25">
        <f t="shared" si="163"/>
        <v>-1.5E-3</v>
      </c>
      <c r="H220" s="25">
        <f t="shared" si="164"/>
        <v>6.45E-3</v>
      </c>
      <c r="I220" s="25">
        <f t="shared" si="165"/>
        <v>1.9350000000000003E-2</v>
      </c>
      <c r="J220" s="16">
        <f t="shared" si="145"/>
        <v>2.7300000000000001E-2</v>
      </c>
      <c r="K220" s="26">
        <f t="shared" si="146"/>
        <v>-43.5</v>
      </c>
      <c r="L220" s="26">
        <f t="shared" si="147"/>
        <v>80</v>
      </c>
      <c r="M220" s="26">
        <f t="shared" si="148"/>
        <v>80</v>
      </c>
      <c r="N220" s="26">
        <f t="shared" si="149"/>
        <v>80</v>
      </c>
      <c r="O220" s="27">
        <f t="shared" si="150"/>
        <v>-2944.0800000000004</v>
      </c>
      <c r="P220" s="27">
        <f t="shared" si="151"/>
        <v>4953.6000000000004</v>
      </c>
      <c r="Q220" s="27">
        <f t="shared" si="152"/>
        <v>4953.6000000000004</v>
      </c>
      <c r="R220" s="27">
        <f t="shared" si="153"/>
        <v>5414.4000000000005</v>
      </c>
      <c r="S220" s="27">
        <f t="shared" si="154"/>
        <v>-17617.95</v>
      </c>
      <c r="T220" s="27">
        <f t="shared" si="155"/>
        <v>-5240.43</v>
      </c>
      <c r="U220" s="27">
        <f t="shared" si="156"/>
        <v>-318323.89125000004</v>
      </c>
      <c r="V220" s="16">
        <f t="shared" si="157"/>
        <v>0.9</v>
      </c>
      <c r="W220" s="27">
        <f t="shared" si="158"/>
        <v>-4716.3870000000006</v>
      </c>
      <c r="X220" s="27">
        <f t="shared" si="159"/>
        <v>-286491.50212500006</v>
      </c>
      <c r="Y220" s="27">
        <f t="shared" si="160"/>
        <v>286491.50212500006</v>
      </c>
    </row>
    <row r="221" spans="2:25">
      <c r="B221" s="22">
        <v>0.75</v>
      </c>
      <c r="C221" s="23">
        <f t="shared" si="166"/>
        <v>32.142857142857139</v>
      </c>
      <c r="D221" s="29">
        <f t="shared" si="161"/>
        <v>0.10107816711590295</v>
      </c>
      <c r="E221" s="36">
        <f t="shared" si="144"/>
        <v>-9.3333333333333343E-5</v>
      </c>
      <c r="F221" s="17">
        <f t="shared" si="162"/>
        <v>2.6680000000000006E-2</v>
      </c>
      <c r="G221" s="25">
        <f t="shared" si="163"/>
        <v>-1.5999999999999999E-3</v>
      </c>
      <c r="H221" s="25">
        <f t="shared" si="164"/>
        <v>5.8200000000000014E-3</v>
      </c>
      <c r="I221" s="25">
        <f t="shared" si="165"/>
        <v>1.7860000000000001E-2</v>
      </c>
      <c r="J221" s="16">
        <f t="shared" si="145"/>
        <v>2.5280000000000007E-2</v>
      </c>
      <c r="K221" s="26">
        <f t="shared" si="146"/>
        <v>-46.4</v>
      </c>
      <c r="L221" s="26">
        <f t="shared" si="147"/>
        <v>80</v>
      </c>
      <c r="M221" s="26">
        <f t="shared" si="148"/>
        <v>80</v>
      </c>
      <c r="N221" s="26">
        <f t="shared" si="149"/>
        <v>80</v>
      </c>
      <c r="O221" s="27">
        <f t="shared" si="150"/>
        <v>-3140.3520000000003</v>
      </c>
      <c r="P221" s="27">
        <f t="shared" si="151"/>
        <v>4953.6000000000004</v>
      </c>
      <c r="Q221" s="27">
        <f t="shared" si="152"/>
        <v>4953.6000000000004</v>
      </c>
      <c r="R221" s="27">
        <f t="shared" si="153"/>
        <v>5414.4000000000005</v>
      </c>
      <c r="S221" s="27">
        <f t="shared" si="154"/>
        <v>-18876.374999999996</v>
      </c>
      <c r="T221" s="27">
        <f t="shared" si="155"/>
        <v>-6695.1269999999968</v>
      </c>
      <c r="U221" s="27">
        <f t="shared" si="156"/>
        <v>-335072.39118749998</v>
      </c>
      <c r="V221" s="16">
        <f t="shared" si="157"/>
        <v>0.9</v>
      </c>
      <c r="W221" s="27">
        <f t="shared" si="158"/>
        <v>-6025.6142999999975</v>
      </c>
      <c r="X221" s="27">
        <f t="shared" si="159"/>
        <v>-301565.15206875</v>
      </c>
      <c r="Y221" s="27">
        <f t="shared" si="160"/>
        <v>301565.15206875</v>
      </c>
    </row>
    <row r="222" spans="2:25">
      <c r="B222" s="22">
        <v>0.8</v>
      </c>
      <c r="C222" s="23">
        <f t="shared" si="166"/>
        <v>34.285714285714292</v>
      </c>
      <c r="D222" s="29">
        <f t="shared" si="161"/>
        <v>0.10781671159029652</v>
      </c>
      <c r="E222" s="36">
        <f t="shared" si="144"/>
        <v>-8.7499999999999986E-5</v>
      </c>
      <c r="F222" s="17">
        <f t="shared" si="162"/>
        <v>2.4824999999999996E-2</v>
      </c>
      <c r="G222" s="25">
        <f t="shared" si="163"/>
        <v>-1.6875000000000002E-3</v>
      </c>
      <c r="H222" s="25">
        <f t="shared" si="164"/>
        <v>5.2687499999999983E-3</v>
      </c>
      <c r="I222" s="25">
        <f t="shared" si="165"/>
        <v>1.6556249999999998E-2</v>
      </c>
      <c r="J222" s="16">
        <f t="shared" si="145"/>
        <v>2.3512499999999995E-2</v>
      </c>
      <c r="K222" s="26">
        <f t="shared" si="146"/>
        <v>-48.937500000000007</v>
      </c>
      <c r="L222" s="26">
        <f t="shared" si="147"/>
        <v>80</v>
      </c>
      <c r="M222" s="26">
        <f t="shared" si="148"/>
        <v>80</v>
      </c>
      <c r="N222" s="26">
        <f t="shared" si="149"/>
        <v>80</v>
      </c>
      <c r="O222" s="27">
        <f t="shared" si="150"/>
        <v>-3312.0900000000006</v>
      </c>
      <c r="P222" s="27">
        <f t="shared" si="151"/>
        <v>4953.6000000000004</v>
      </c>
      <c r="Q222" s="27">
        <f t="shared" si="152"/>
        <v>4953.6000000000004</v>
      </c>
      <c r="R222" s="27">
        <f t="shared" si="153"/>
        <v>5414.4000000000005</v>
      </c>
      <c r="S222" s="27">
        <f t="shared" si="154"/>
        <v>-20134.800000000003</v>
      </c>
      <c r="T222" s="27">
        <f t="shared" si="155"/>
        <v>-8125.2900000000009</v>
      </c>
      <c r="U222" s="27">
        <f t="shared" si="156"/>
        <v>-351369.18</v>
      </c>
      <c r="V222" s="16">
        <f t="shared" si="157"/>
        <v>0.9</v>
      </c>
      <c r="W222" s="27">
        <f t="shared" si="158"/>
        <v>-7312.7610000000013</v>
      </c>
      <c r="X222" s="27">
        <f t="shared" si="159"/>
        <v>-316232.26199999999</v>
      </c>
      <c r="Y222" s="27">
        <f t="shared" si="160"/>
        <v>316232.26199999999</v>
      </c>
    </row>
    <row r="223" spans="2:25">
      <c r="B223" s="22">
        <v>0.85</v>
      </c>
      <c r="C223" s="23">
        <f t="shared" si="166"/>
        <v>36.428571428571431</v>
      </c>
      <c r="D223" s="29">
        <f t="shared" si="161"/>
        <v>0.11455525606469004</v>
      </c>
      <c r="E223" s="36">
        <f t="shared" si="144"/>
        <v>-8.2352941176470581E-5</v>
      </c>
      <c r="F223" s="17">
        <f t="shared" si="162"/>
        <v>2.3188235294117645E-2</v>
      </c>
      <c r="G223" s="25">
        <f t="shared" si="163"/>
        <v>-1.7647058823529412E-3</v>
      </c>
      <c r="H223" s="25">
        <f t="shared" si="164"/>
        <v>4.7823529411764702E-3</v>
      </c>
      <c r="I223" s="25">
        <f t="shared" si="165"/>
        <v>1.5405882352941174E-2</v>
      </c>
      <c r="J223" s="16">
        <f t="shared" si="145"/>
        <v>2.1952941176470585E-2</v>
      </c>
      <c r="K223" s="26">
        <f t="shared" si="146"/>
        <v>-51.176470588235297</v>
      </c>
      <c r="L223" s="26">
        <f t="shared" si="147"/>
        <v>80</v>
      </c>
      <c r="M223" s="26">
        <f t="shared" si="148"/>
        <v>80</v>
      </c>
      <c r="N223" s="26">
        <f t="shared" si="149"/>
        <v>80</v>
      </c>
      <c r="O223" s="27">
        <f t="shared" si="150"/>
        <v>-3463.623529411765</v>
      </c>
      <c r="P223" s="27">
        <f t="shared" si="151"/>
        <v>4953.6000000000004</v>
      </c>
      <c r="Q223" s="27">
        <f t="shared" si="152"/>
        <v>4953.6000000000004</v>
      </c>
      <c r="R223" s="27">
        <f t="shared" si="153"/>
        <v>5414.4000000000005</v>
      </c>
      <c r="S223" s="27">
        <f t="shared" si="154"/>
        <v>-21393.225000000002</v>
      </c>
      <c r="T223" s="27">
        <f t="shared" si="155"/>
        <v>-9535.248529411765</v>
      </c>
      <c r="U223" s="27">
        <f t="shared" si="156"/>
        <v>-367266.21204044129</v>
      </c>
      <c r="V223" s="16">
        <f t="shared" si="157"/>
        <v>0.9</v>
      </c>
      <c r="W223" s="27">
        <f t="shared" si="158"/>
        <v>-8581.7236764705885</v>
      </c>
      <c r="X223" s="27">
        <f t="shared" si="159"/>
        <v>-330539.59083639714</v>
      </c>
      <c r="Y223" s="27">
        <f t="shared" si="160"/>
        <v>330539.59083639714</v>
      </c>
    </row>
    <row r="224" spans="2:25">
      <c r="B224" s="22">
        <v>0.9</v>
      </c>
      <c r="C224" s="23">
        <f t="shared" si="166"/>
        <v>38.571428571428577</v>
      </c>
      <c r="D224" s="29">
        <f t="shared" si="161"/>
        <v>0.12129380053908358</v>
      </c>
      <c r="E224" s="36">
        <f t="shared" si="144"/>
        <v>-7.7777777777777768E-5</v>
      </c>
      <c r="F224" s="17">
        <f t="shared" si="162"/>
        <v>2.173333333333333E-2</v>
      </c>
      <c r="G224" s="25">
        <f t="shared" si="163"/>
        <v>-1.8333333333333335E-3</v>
      </c>
      <c r="H224" s="25">
        <f t="shared" si="164"/>
        <v>4.3499999999999988E-3</v>
      </c>
      <c r="I224" s="25">
        <f t="shared" si="165"/>
        <v>1.4383333333333331E-2</v>
      </c>
      <c r="J224" s="16">
        <f t="shared" si="145"/>
        <v>2.0566666666666664E-2</v>
      </c>
      <c r="K224" s="26">
        <f t="shared" si="146"/>
        <v>-53.166666666666671</v>
      </c>
      <c r="L224" s="26">
        <f t="shared" si="147"/>
        <v>80</v>
      </c>
      <c r="M224" s="26">
        <f t="shared" si="148"/>
        <v>80</v>
      </c>
      <c r="N224" s="26">
        <f t="shared" si="149"/>
        <v>80</v>
      </c>
      <c r="O224" s="27">
        <f t="shared" si="150"/>
        <v>-3598.3200000000006</v>
      </c>
      <c r="P224" s="27">
        <f t="shared" si="151"/>
        <v>4953.6000000000004</v>
      </c>
      <c r="Q224" s="27">
        <f t="shared" si="152"/>
        <v>4953.6000000000004</v>
      </c>
      <c r="R224" s="27">
        <f t="shared" si="153"/>
        <v>5414.4000000000005</v>
      </c>
      <c r="S224" s="27">
        <f t="shared" si="154"/>
        <v>-22651.650000000005</v>
      </c>
      <c r="T224" s="27">
        <f t="shared" si="155"/>
        <v>-10928.370000000004</v>
      </c>
      <c r="U224" s="27">
        <f t="shared" si="156"/>
        <v>-382803.89625000005</v>
      </c>
      <c r="V224" s="16">
        <f t="shared" si="157"/>
        <v>0.9</v>
      </c>
      <c r="W224" s="27">
        <f t="shared" si="158"/>
        <v>-9835.5330000000049</v>
      </c>
      <c r="X224" s="27">
        <f t="shared" si="159"/>
        <v>-344523.50662500004</v>
      </c>
      <c r="Y224" s="27">
        <f t="shared" si="160"/>
        <v>344523.50662500004</v>
      </c>
    </row>
    <row r="226" spans="1:25">
      <c r="B226" s="11" t="s">
        <v>7</v>
      </c>
      <c r="D226" s="33">
        <v>1.7999999999999999E-2</v>
      </c>
    </row>
    <row r="227" spans="1:25">
      <c r="B227" s="9" t="s">
        <v>8</v>
      </c>
      <c r="C227" s="9" t="s">
        <v>15</v>
      </c>
      <c r="D227" s="26">
        <f>D226*(D10*D12)</f>
        <v>76.14</v>
      </c>
    </row>
    <row r="228" spans="1:25">
      <c r="B228" s="9" t="s">
        <v>9</v>
      </c>
      <c r="C228" s="9" t="s">
        <v>15</v>
      </c>
      <c r="D228" s="26">
        <f>D226*(D11-(2*D12))/2*D13</f>
        <v>69.659999999999982</v>
      </c>
    </row>
    <row r="229" spans="1:25">
      <c r="B229" s="9" t="s">
        <v>10</v>
      </c>
      <c r="C229" s="9" t="s">
        <v>15</v>
      </c>
      <c r="D229" s="26">
        <f>D228</f>
        <v>69.659999999999982</v>
      </c>
    </row>
    <row r="230" spans="1:25">
      <c r="B230" s="9" t="s">
        <v>59</v>
      </c>
      <c r="C230" s="9" t="s">
        <v>15</v>
      </c>
      <c r="D230" s="26">
        <f>D227</f>
        <v>76.14</v>
      </c>
    </row>
    <row r="231" spans="1:25">
      <c r="B231" s="18" t="s">
        <v>61</v>
      </c>
      <c r="C231" s="18" t="s">
        <v>37</v>
      </c>
      <c r="D231" s="18" t="s">
        <v>60</v>
      </c>
      <c r="E231" s="19" t="s">
        <v>19</v>
      </c>
      <c r="F231" s="19" t="s">
        <v>20</v>
      </c>
      <c r="G231" s="19" t="s">
        <v>21</v>
      </c>
      <c r="H231" s="19" t="s">
        <v>22</v>
      </c>
      <c r="I231" s="19" t="s">
        <v>23</v>
      </c>
      <c r="J231" s="19" t="s">
        <v>51</v>
      </c>
      <c r="K231" s="19" t="s">
        <v>24</v>
      </c>
      <c r="L231" s="19" t="s">
        <v>25</v>
      </c>
      <c r="M231" s="19" t="s">
        <v>26</v>
      </c>
      <c r="N231" s="19" t="s">
        <v>52</v>
      </c>
      <c r="O231" s="19" t="s">
        <v>27</v>
      </c>
      <c r="P231" s="19" t="s">
        <v>28</v>
      </c>
      <c r="Q231" s="19" t="s">
        <v>29</v>
      </c>
      <c r="R231" s="19" t="s">
        <v>53</v>
      </c>
      <c r="S231" s="19" t="s">
        <v>30</v>
      </c>
      <c r="T231" s="19" t="s">
        <v>31</v>
      </c>
      <c r="U231" s="19" t="s">
        <v>32</v>
      </c>
      <c r="V231" s="19" t="s">
        <v>33</v>
      </c>
      <c r="W231" s="19" t="s">
        <v>34</v>
      </c>
      <c r="X231" s="19" t="s">
        <v>35</v>
      </c>
    </row>
    <row r="232" spans="1:25">
      <c r="B232" s="20"/>
      <c r="C232" s="21" t="s">
        <v>14</v>
      </c>
      <c r="D232" s="21"/>
      <c r="E232" s="21" t="s">
        <v>39</v>
      </c>
      <c r="F232" s="20"/>
      <c r="G232" s="20"/>
      <c r="H232" s="19"/>
      <c r="I232" s="19"/>
      <c r="J232" s="19"/>
      <c r="K232" s="21" t="s">
        <v>13</v>
      </c>
      <c r="L232" s="21" t="s">
        <v>13</v>
      </c>
      <c r="M232" s="21" t="s">
        <v>13</v>
      </c>
      <c r="N232" s="21"/>
      <c r="O232" s="21" t="s">
        <v>41</v>
      </c>
      <c r="P232" s="21" t="s">
        <v>41</v>
      </c>
      <c r="Q232" s="21" t="s">
        <v>41</v>
      </c>
      <c r="R232" s="21"/>
      <c r="S232" s="21" t="s">
        <v>41</v>
      </c>
      <c r="T232" s="21" t="s">
        <v>41</v>
      </c>
      <c r="U232" s="21" t="s">
        <v>42</v>
      </c>
      <c r="V232" s="21"/>
      <c r="W232" s="21" t="s">
        <v>41</v>
      </c>
      <c r="X232" s="21" t="s">
        <v>42</v>
      </c>
    </row>
    <row r="233" spans="1:25">
      <c r="A233" s="15" t="s">
        <v>36</v>
      </c>
      <c r="B233" s="22"/>
      <c r="C233" s="23"/>
      <c r="D233" s="23"/>
      <c r="E233" s="24"/>
      <c r="F233" s="17"/>
      <c r="G233" s="25"/>
      <c r="H233" s="25"/>
      <c r="I233" s="25"/>
      <c r="J233" s="25"/>
      <c r="K233" s="26"/>
      <c r="L233" s="26"/>
      <c r="M233" s="26"/>
      <c r="N233" s="26"/>
      <c r="O233" s="27"/>
      <c r="P233" s="27"/>
      <c r="Q233" s="27"/>
      <c r="R233" s="27"/>
      <c r="S233" s="27"/>
      <c r="T233" s="27"/>
      <c r="U233" s="27"/>
      <c r="V233" s="16"/>
      <c r="W233" s="27"/>
      <c r="X233" s="27"/>
    </row>
    <row r="234" spans="1:25">
      <c r="B234" s="22">
        <v>1.0000000000000001E-5</v>
      </c>
      <c r="C234" s="28">
        <f t="shared" ref="C234" si="167">B234/$D$15*$D$13</f>
        <v>4.285714285714286E-4</v>
      </c>
      <c r="D234" s="29">
        <f>C234/$D$10</f>
        <v>3.0395136778115506E-6</v>
      </c>
      <c r="E234" s="36">
        <f t="shared" ref="E234:E252" si="168">-0.003/C234</f>
        <v>-7</v>
      </c>
      <c r="F234" s="17">
        <f>E234*(C234-$D$11)</f>
        <v>2225.9969999999998</v>
      </c>
      <c r="G234" s="25">
        <f>E234*(C234-($D$20))</f>
        <v>104.997</v>
      </c>
      <c r="H234" s="25">
        <f>E234*(C234-($D$21))</f>
        <v>661.49699999999996</v>
      </c>
      <c r="I234" s="17">
        <f>E234*(C234-($D$22))</f>
        <v>1564.4970000000001</v>
      </c>
      <c r="J234" s="16">
        <f>E234*(C234-$D$23)</f>
        <v>2120.9969999999998</v>
      </c>
      <c r="K234" s="26">
        <f>SIGN(G234)*MIN($D$8*ABS(G234),$D$7)</f>
        <v>80</v>
      </c>
      <c r="L234" s="26">
        <f>SIGN(H234)*MIN($D$8*ABS(H234),$D$7)</f>
        <v>80</v>
      </c>
      <c r="M234" s="26">
        <f>SIGN(I234)*MIN($D$8*ABS(I234),$D$7)</f>
        <v>80</v>
      </c>
      <c r="N234" s="26">
        <f>SIGN(J234)*MIN($D$8*ABS(J234),$D$7)</f>
        <v>80</v>
      </c>
      <c r="O234" s="27">
        <f>$D$227*K234</f>
        <v>6091.2</v>
      </c>
      <c r="P234" s="27">
        <f>$D$228*L234</f>
        <v>5572.7999999999984</v>
      </c>
      <c r="Q234" s="27">
        <f>$D$229*M234</f>
        <v>5572.7999999999984</v>
      </c>
      <c r="R234" s="27">
        <f>N234*$D$230</f>
        <v>6091.2</v>
      </c>
      <c r="S234" s="27">
        <f>$D$15*C234*$D$10*(-0.85*$D$6)</f>
        <v>-0.25168500000000005</v>
      </c>
      <c r="T234" s="27">
        <f>SUM(O234:S234)</f>
        <v>23327.748314999997</v>
      </c>
      <c r="U234" s="27">
        <f>(S234*($D$18-$D$15*C234/2)+O234*($D$18-$D$20)+(P234*($D$18-$D$21))+(Q234*($D$18-$D$22))+R234*($D$18-$D$23))/12</f>
        <v>-3.3348231039417442</v>
      </c>
      <c r="V234" s="16">
        <f>MAX(0.65,MIN(0.9,0.65+(F234-0.002)*250/3))</f>
        <v>0.9</v>
      </c>
      <c r="W234" s="27">
        <f>V234*T234</f>
        <v>20994.973483499998</v>
      </c>
      <c r="X234" s="27">
        <f>V234*U234</f>
        <v>-3.0013407935475698</v>
      </c>
      <c r="Y234" s="27">
        <f>-X234</f>
        <v>3.0013407935475698</v>
      </c>
    </row>
    <row r="235" spans="1:25">
      <c r="B235" s="22">
        <v>0.05</v>
      </c>
      <c r="C235" s="23">
        <f>B235/$D$15*$D$13</f>
        <v>2.1428571428571432</v>
      </c>
      <c r="D235" s="29">
        <f>C235/$D$11</f>
        <v>6.7385444743935322E-3</v>
      </c>
      <c r="E235" s="36">
        <f t="shared" si="168"/>
        <v>-1.3999999999999998E-3</v>
      </c>
      <c r="F235" s="17">
        <f>E235*(C235-$D$11)</f>
        <v>0.44219999999999987</v>
      </c>
      <c r="G235" s="25">
        <f>E235*(C235-($D$20))</f>
        <v>1.7999999999999999E-2</v>
      </c>
      <c r="H235" s="25">
        <f>E235*(C235-($D$21))</f>
        <v>0.12929999999999997</v>
      </c>
      <c r="I235" s="25">
        <f>E235*(C235-($D$22))</f>
        <v>0.30989999999999995</v>
      </c>
      <c r="J235" s="16">
        <f t="shared" ref="J235:J252" si="169">E235*(C235-$D$23)</f>
        <v>0.42119999999999991</v>
      </c>
      <c r="K235" s="26">
        <f t="shared" ref="K235:K252" si="170">SIGN(G235)*MIN($D$8*ABS(G235),$D$7)</f>
        <v>80</v>
      </c>
      <c r="L235" s="26">
        <f t="shared" ref="L235:L252" si="171">SIGN(H235)*MIN($D$8*ABS(H235),$D$7)</f>
        <v>80</v>
      </c>
      <c r="M235" s="26">
        <f t="shared" ref="M235:M252" si="172">SIGN(I235)*MIN($D$8*ABS(I235),$D$7)</f>
        <v>80</v>
      </c>
      <c r="N235" s="26">
        <f t="shared" ref="N235:N252" si="173">SIGN(J235)*MIN($D$8*ABS(J235),$D$7)</f>
        <v>80</v>
      </c>
      <c r="O235" s="27">
        <f t="shared" ref="O235:O252" si="174">$D$227*K235</f>
        <v>6091.2</v>
      </c>
      <c r="P235" s="27">
        <f t="shared" ref="P235:P252" si="175">$D$228*L235</f>
        <v>5572.7999999999984</v>
      </c>
      <c r="Q235" s="27">
        <f t="shared" ref="Q235:Q252" si="176">$D$229*M235</f>
        <v>5572.7999999999984</v>
      </c>
      <c r="R235" s="27">
        <f t="shared" ref="R235:R252" si="177">N235*$D$230</f>
        <v>6091.2</v>
      </c>
      <c r="S235" s="27">
        <f t="shared" ref="S235:S252" si="178">$D$15*C235*$D$10*(-0.85*$D$6)</f>
        <v>-1258.4250000000002</v>
      </c>
      <c r="T235" s="27">
        <f t="shared" ref="T235:T252" si="179">SUM(O235:S235)</f>
        <v>22069.574999999997</v>
      </c>
      <c r="U235" s="27">
        <f t="shared" ref="U235:U253" si="180">(S235*($D$18-$D$15*C235/2)+O235*($D$18-$D$20)+(P235*($D$18-$D$21))+(Q235*($D$18-$D$22))+R235*($D$18-$D$23))/12</f>
        <v>-16595.479687499999</v>
      </c>
      <c r="V235" s="16">
        <f t="shared" ref="V235:V252" si="181">MAX(0.65,MIN(0.9,0.65+(F235-0.002)*250/3))</f>
        <v>0.9</v>
      </c>
      <c r="W235" s="27">
        <f t="shared" ref="W235:W252" si="182">V235*T235</f>
        <v>19862.617499999997</v>
      </c>
      <c r="X235" s="27">
        <f t="shared" ref="X235:X252" si="183">V235*U235</f>
        <v>-14935.93171875</v>
      </c>
      <c r="Y235" s="27">
        <f t="shared" ref="Y235:Y252" si="184">-X235</f>
        <v>14935.93171875</v>
      </c>
    </row>
    <row r="236" spans="1:25">
      <c r="B236" s="22">
        <v>0.1</v>
      </c>
      <c r="C236" s="23">
        <f>B236/$D$15*$D$13</f>
        <v>4.2857142857142865</v>
      </c>
      <c r="D236" s="29">
        <f t="shared" ref="D236:D252" si="185">C236/$D$11</f>
        <v>1.3477088948787064E-2</v>
      </c>
      <c r="E236" s="36">
        <f t="shared" si="168"/>
        <v>-6.9999999999999988E-4</v>
      </c>
      <c r="F236" s="17">
        <f t="shared" ref="F236:F252" si="186">E236*(C236-$D$11)</f>
        <v>0.21959999999999996</v>
      </c>
      <c r="G236" s="25">
        <f t="shared" ref="G236:G252" si="187">E236*(C236-($D$20))</f>
        <v>7.499999999999998E-3</v>
      </c>
      <c r="H236" s="25">
        <f t="shared" ref="H236:H252" si="188">E236*(C236-($D$21))</f>
        <v>6.3149999999999984E-2</v>
      </c>
      <c r="I236" s="25">
        <f t="shared" ref="I236:I252" si="189">E236*(C236-($D$22))</f>
        <v>0.15344999999999998</v>
      </c>
      <c r="J236" s="16">
        <f t="shared" si="169"/>
        <v>0.20909999999999998</v>
      </c>
      <c r="K236" s="26">
        <f t="shared" si="170"/>
        <v>80</v>
      </c>
      <c r="L236" s="26">
        <f t="shared" si="171"/>
        <v>80</v>
      </c>
      <c r="M236" s="26">
        <f t="shared" si="172"/>
        <v>80</v>
      </c>
      <c r="N236" s="26">
        <f t="shared" si="173"/>
        <v>80</v>
      </c>
      <c r="O236" s="27">
        <f t="shared" si="174"/>
        <v>6091.2</v>
      </c>
      <c r="P236" s="27">
        <f t="shared" si="175"/>
        <v>5572.7999999999984</v>
      </c>
      <c r="Q236" s="27">
        <f t="shared" si="176"/>
        <v>5572.7999999999984</v>
      </c>
      <c r="R236" s="27">
        <f t="shared" si="177"/>
        <v>6091.2</v>
      </c>
      <c r="S236" s="27">
        <f t="shared" si="178"/>
        <v>-2516.8500000000004</v>
      </c>
      <c r="T236" s="27">
        <f t="shared" si="179"/>
        <v>20811.149999999994</v>
      </c>
      <c r="U236" s="27">
        <f t="shared" si="180"/>
        <v>-33033.656250000007</v>
      </c>
      <c r="V236" s="16">
        <f t="shared" si="181"/>
        <v>0.9</v>
      </c>
      <c r="W236" s="27">
        <f t="shared" si="182"/>
        <v>18730.034999999996</v>
      </c>
      <c r="X236" s="27">
        <f t="shared" si="183"/>
        <v>-29730.290625000009</v>
      </c>
      <c r="Y236" s="27">
        <f t="shared" si="184"/>
        <v>29730.290625000009</v>
      </c>
    </row>
    <row r="237" spans="1:25">
      <c r="B237" s="22">
        <v>0.15</v>
      </c>
      <c r="C237" s="23">
        <f>B237/$D$15*$D$13</f>
        <v>6.4285714285714288</v>
      </c>
      <c r="D237" s="29">
        <f t="shared" si="185"/>
        <v>2.0215633423180595E-2</v>
      </c>
      <c r="E237" s="36">
        <f t="shared" si="168"/>
        <v>-4.6666666666666666E-4</v>
      </c>
      <c r="F237" s="17">
        <f t="shared" si="186"/>
        <v>0.1454</v>
      </c>
      <c r="G237" s="25">
        <f t="shared" si="187"/>
        <v>4.0000000000000001E-3</v>
      </c>
      <c r="H237" s="25">
        <f t="shared" si="188"/>
        <v>4.1099999999999998E-2</v>
      </c>
      <c r="I237" s="25">
        <f t="shared" si="189"/>
        <v>0.1013</v>
      </c>
      <c r="J237" s="16">
        <f t="shared" si="169"/>
        <v>0.1384</v>
      </c>
      <c r="K237" s="26">
        <f t="shared" si="170"/>
        <v>80</v>
      </c>
      <c r="L237" s="26">
        <f t="shared" si="171"/>
        <v>80</v>
      </c>
      <c r="M237" s="26">
        <f t="shared" si="172"/>
        <v>80</v>
      </c>
      <c r="N237" s="26">
        <f t="shared" si="173"/>
        <v>80</v>
      </c>
      <c r="O237" s="27">
        <f t="shared" si="174"/>
        <v>6091.2</v>
      </c>
      <c r="P237" s="27">
        <f t="shared" si="175"/>
        <v>5572.7999999999984</v>
      </c>
      <c r="Q237" s="27">
        <f t="shared" si="176"/>
        <v>5572.7999999999984</v>
      </c>
      <c r="R237" s="27">
        <f t="shared" si="177"/>
        <v>6091.2</v>
      </c>
      <c r="S237" s="27">
        <f t="shared" si="178"/>
        <v>-3775.2750000000001</v>
      </c>
      <c r="T237" s="27">
        <f t="shared" si="179"/>
        <v>19552.724999999995</v>
      </c>
      <c r="U237" s="27">
        <f t="shared" si="180"/>
        <v>-49314.529687500013</v>
      </c>
      <c r="V237" s="16">
        <f t="shared" si="181"/>
        <v>0.9</v>
      </c>
      <c r="W237" s="27">
        <f t="shared" si="182"/>
        <v>17597.452499999996</v>
      </c>
      <c r="X237" s="27">
        <f t="shared" si="183"/>
        <v>-44383.07671875001</v>
      </c>
      <c r="Y237" s="27">
        <f t="shared" si="184"/>
        <v>44383.07671875001</v>
      </c>
    </row>
    <row r="238" spans="1:25">
      <c r="B238" s="22">
        <v>0.2</v>
      </c>
      <c r="C238" s="23">
        <f>B238/$D$15*$D$13</f>
        <v>8.571428571428573</v>
      </c>
      <c r="D238" s="29">
        <f t="shared" si="185"/>
        <v>2.6954177897574129E-2</v>
      </c>
      <c r="E238" s="36">
        <f t="shared" si="168"/>
        <v>-3.4999999999999994E-4</v>
      </c>
      <c r="F238" s="17">
        <f t="shared" si="186"/>
        <v>0.10829999999999999</v>
      </c>
      <c r="G238" s="25">
        <f t="shared" si="187"/>
        <v>2.249999999999999E-3</v>
      </c>
      <c r="H238" s="25">
        <f t="shared" si="188"/>
        <v>3.0074999999999994E-2</v>
      </c>
      <c r="I238" s="25">
        <f t="shared" si="189"/>
        <v>7.5224999999999986E-2</v>
      </c>
      <c r="J238" s="16">
        <f t="shared" si="169"/>
        <v>0.10304999999999999</v>
      </c>
      <c r="K238" s="26">
        <f t="shared" si="170"/>
        <v>65.249999999999972</v>
      </c>
      <c r="L238" s="26">
        <f t="shared" si="171"/>
        <v>80</v>
      </c>
      <c r="M238" s="26">
        <f t="shared" si="172"/>
        <v>80</v>
      </c>
      <c r="N238" s="26">
        <f t="shared" si="173"/>
        <v>80</v>
      </c>
      <c r="O238" s="27">
        <f t="shared" si="174"/>
        <v>4968.1349999999975</v>
      </c>
      <c r="P238" s="27">
        <f t="shared" si="175"/>
        <v>5572.7999999999984</v>
      </c>
      <c r="Q238" s="27">
        <f t="shared" si="176"/>
        <v>5572.7999999999984</v>
      </c>
      <c r="R238" s="27">
        <f t="shared" si="177"/>
        <v>6091.2</v>
      </c>
      <c r="S238" s="27">
        <f t="shared" si="178"/>
        <v>-5033.7000000000007</v>
      </c>
      <c r="T238" s="27">
        <f t="shared" si="179"/>
        <v>17171.234999999993</v>
      </c>
      <c r="U238" s="27">
        <f t="shared" si="180"/>
        <v>-78914.880000000034</v>
      </c>
      <c r="V238" s="16">
        <f t="shared" si="181"/>
        <v>0.9</v>
      </c>
      <c r="W238" s="27">
        <f t="shared" si="182"/>
        <v>15454.111499999994</v>
      </c>
      <c r="X238" s="27">
        <f t="shared" si="183"/>
        <v>-71023.392000000036</v>
      </c>
      <c r="Y238" s="27">
        <f t="shared" si="184"/>
        <v>71023.392000000036</v>
      </c>
    </row>
    <row r="239" spans="1:25">
      <c r="B239" s="22">
        <v>0.25</v>
      </c>
      <c r="C239" s="23">
        <f>B239/$D$15*$D$13</f>
        <v>10.714285714285715</v>
      </c>
      <c r="D239" s="29">
        <f t="shared" si="185"/>
        <v>3.3692722371967659E-2</v>
      </c>
      <c r="E239" s="36">
        <f t="shared" si="168"/>
        <v>-2.7999999999999998E-4</v>
      </c>
      <c r="F239" s="17">
        <f t="shared" si="186"/>
        <v>8.6039999999999991E-2</v>
      </c>
      <c r="G239" s="25">
        <f t="shared" si="187"/>
        <v>1.1999999999999997E-3</v>
      </c>
      <c r="H239" s="25">
        <f t="shared" si="188"/>
        <v>2.3459999999999995E-2</v>
      </c>
      <c r="I239" s="25">
        <f t="shared" si="189"/>
        <v>5.9579999999999994E-2</v>
      </c>
      <c r="J239" s="16">
        <f t="shared" si="169"/>
        <v>8.1839999999999996E-2</v>
      </c>
      <c r="K239" s="26">
        <f t="shared" si="170"/>
        <v>34.79999999999999</v>
      </c>
      <c r="L239" s="26">
        <f t="shared" si="171"/>
        <v>80</v>
      </c>
      <c r="M239" s="26">
        <f t="shared" si="172"/>
        <v>80</v>
      </c>
      <c r="N239" s="26">
        <f t="shared" si="173"/>
        <v>80</v>
      </c>
      <c r="O239" s="27">
        <f t="shared" si="174"/>
        <v>2649.6719999999991</v>
      </c>
      <c r="P239" s="27">
        <f t="shared" si="175"/>
        <v>5572.7999999999984</v>
      </c>
      <c r="Q239" s="27">
        <f t="shared" si="176"/>
        <v>5572.7999999999984</v>
      </c>
      <c r="R239" s="27">
        <f t="shared" si="177"/>
        <v>6091.2</v>
      </c>
      <c r="S239" s="27">
        <f t="shared" si="178"/>
        <v>-6292.125</v>
      </c>
      <c r="T239" s="27">
        <f t="shared" si="179"/>
        <v>13594.346999999998</v>
      </c>
      <c r="U239" s="27">
        <f t="shared" si="180"/>
        <v>-122702.70318750001</v>
      </c>
      <c r="V239" s="16">
        <f t="shared" si="181"/>
        <v>0.9</v>
      </c>
      <c r="W239" s="27">
        <f t="shared" si="182"/>
        <v>12234.912299999998</v>
      </c>
      <c r="X239" s="27">
        <f t="shared" si="183"/>
        <v>-110432.43286875001</v>
      </c>
      <c r="Y239" s="27">
        <f t="shared" si="184"/>
        <v>110432.43286875001</v>
      </c>
    </row>
    <row r="240" spans="1:25">
      <c r="B240" s="22">
        <v>0.3</v>
      </c>
      <c r="C240" s="23">
        <f t="shared" ref="C240:C252" si="190">B240/$D$15*$D$13</f>
        <v>12.857142857142858</v>
      </c>
      <c r="D240" s="29">
        <f t="shared" si="185"/>
        <v>4.043126684636119E-2</v>
      </c>
      <c r="E240" s="36">
        <f t="shared" si="168"/>
        <v>-2.3333333333333333E-4</v>
      </c>
      <c r="F240" s="17">
        <f t="shared" si="186"/>
        <v>7.1199999999999999E-2</v>
      </c>
      <c r="G240" s="25">
        <f t="shared" si="187"/>
        <v>4.999999999999999E-4</v>
      </c>
      <c r="H240" s="25">
        <f t="shared" si="188"/>
        <v>1.9049999999999997E-2</v>
      </c>
      <c r="I240" s="25">
        <f t="shared" si="189"/>
        <v>4.9149999999999999E-2</v>
      </c>
      <c r="J240" s="16">
        <f t="shared" si="169"/>
        <v>6.770000000000001E-2</v>
      </c>
      <c r="K240" s="26">
        <f t="shared" si="170"/>
        <v>14.499999999999996</v>
      </c>
      <c r="L240" s="26">
        <f t="shared" si="171"/>
        <v>80</v>
      </c>
      <c r="M240" s="26">
        <f t="shared" si="172"/>
        <v>80</v>
      </c>
      <c r="N240" s="26">
        <f t="shared" si="173"/>
        <v>80</v>
      </c>
      <c r="O240" s="27">
        <f t="shared" si="174"/>
        <v>1104.0299999999997</v>
      </c>
      <c r="P240" s="27">
        <f t="shared" si="175"/>
        <v>5572.7999999999984</v>
      </c>
      <c r="Q240" s="27">
        <f t="shared" si="176"/>
        <v>5572.7999999999984</v>
      </c>
      <c r="R240" s="27">
        <f t="shared" si="177"/>
        <v>6091.2</v>
      </c>
      <c r="S240" s="27">
        <f t="shared" si="178"/>
        <v>-7550.55</v>
      </c>
      <c r="T240" s="27">
        <f t="shared" si="179"/>
        <v>10790.279999999999</v>
      </c>
      <c r="U240" s="27">
        <f t="shared" si="180"/>
        <v>-157059.37125</v>
      </c>
      <c r="V240" s="16">
        <f t="shared" si="181"/>
        <v>0.9</v>
      </c>
      <c r="W240" s="27">
        <f t="shared" si="182"/>
        <v>9711.2519999999986</v>
      </c>
      <c r="X240" s="27">
        <f t="shared" si="183"/>
        <v>-141353.434125</v>
      </c>
      <c r="Y240" s="27">
        <f t="shared" si="184"/>
        <v>141353.434125</v>
      </c>
    </row>
    <row r="241" spans="2:25">
      <c r="B241" s="22">
        <v>0.35</v>
      </c>
      <c r="C241" s="23">
        <f t="shared" si="190"/>
        <v>15</v>
      </c>
      <c r="D241" s="29">
        <f t="shared" si="185"/>
        <v>4.716981132075472E-2</v>
      </c>
      <c r="E241" s="36">
        <f t="shared" si="168"/>
        <v>-2.0000000000000001E-4</v>
      </c>
      <c r="F241" s="17">
        <f t="shared" si="186"/>
        <v>6.0600000000000001E-2</v>
      </c>
      <c r="G241" s="25">
        <f t="shared" si="187"/>
        <v>0</v>
      </c>
      <c r="H241" s="25">
        <f t="shared" si="188"/>
        <v>1.5900000000000001E-2</v>
      </c>
      <c r="I241" s="25">
        <f t="shared" si="189"/>
        <v>4.1700000000000001E-2</v>
      </c>
      <c r="J241" s="16">
        <f t="shared" si="169"/>
        <v>5.7600000000000005E-2</v>
      </c>
      <c r="K241" s="26">
        <f t="shared" si="170"/>
        <v>0</v>
      </c>
      <c r="L241" s="26">
        <f t="shared" si="171"/>
        <v>80</v>
      </c>
      <c r="M241" s="26">
        <f t="shared" si="172"/>
        <v>80</v>
      </c>
      <c r="N241" s="26">
        <f t="shared" si="173"/>
        <v>80</v>
      </c>
      <c r="O241" s="27">
        <f t="shared" si="174"/>
        <v>0</v>
      </c>
      <c r="P241" s="27">
        <f t="shared" si="175"/>
        <v>5572.7999999999984</v>
      </c>
      <c r="Q241" s="27">
        <f t="shared" si="176"/>
        <v>5572.7999999999984</v>
      </c>
      <c r="R241" s="27">
        <f t="shared" si="177"/>
        <v>6091.2</v>
      </c>
      <c r="S241" s="27">
        <f t="shared" si="178"/>
        <v>-8808.9750000000004</v>
      </c>
      <c r="T241" s="27">
        <f t="shared" si="179"/>
        <v>8427.8249999999953</v>
      </c>
      <c r="U241" s="27">
        <f t="shared" si="180"/>
        <v>-185959.39218749999</v>
      </c>
      <c r="V241" s="16">
        <f t="shared" si="181"/>
        <v>0.9</v>
      </c>
      <c r="W241" s="27">
        <f t="shared" si="182"/>
        <v>7585.0424999999959</v>
      </c>
      <c r="X241" s="27">
        <f t="shared" si="183"/>
        <v>-167363.45296875</v>
      </c>
      <c r="Y241" s="27">
        <f t="shared" si="184"/>
        <v>167363.45296875</v>
      </c>
    </row>
    <row r="242" spans="2:25">
      <c r="B242" s="22">
        <v>0.4</v>
      </c>
      <c r="C242" s="23">
        <f t="shared" si="190"/>
        <v>17.142857142857146</v>
      </c>
      <c r="D242" s="29">
        <f t="shared" si="185"/>
        <v>5.3908355795148258E-2</v>
      </c>
      <c r="E242" s="36">
        <f t="shared" si="168"/>
        <v>-1.7499999999999997E-4</v>
      </c>
      <c r="F242" s="17">
        <f t="shared" si="186"/>
        <v>5.2649999999999988E-2</v>
      </c>
      <c r="G242" s="25">
        <f t="shared" si="187"/>
        <v>-3.750000000000005E-4</v>
      </c>
      <c r="H242" s="25">
        <f t="shared" si="188"/>
        <v>1.3537499999999999E-2</v>
      </c>
      <c r="I242" s="25">
        <f t="shared" si="189"/>
        <v>3.6112499999999992E-2</v>
      </c>
      <c r="J242" s="16">
        <f t="shared" si="169"/>
        <v>5.0024999999999986E-2</v>
      </c>
      <c r="K242" s="26">
        <f t="shared" si="170"/>
        <v>-10.875000000000014</v>
      </c>
      <c r="L242" s="26">
        <f t="shared" si="171"/>
        <v>80</v>
      </c>
      <c r="M242" s="26">
        <f t="shared" si="172"/>
        <v>80</v>
      </c>
      <c r="N242" s="26">
        <f t="shared" si="173"/>
        <v>80</v>
      </c>
      <c r="O242" s="27">
        <f t="shared" si="174"/>
        <v>-828.02250000000106</v>
      </c>
      <c r="P242" s="27">
        <f t="shared" si="175"/>
        <v>5572.7999999999984</v>
      </c>
      <c r="Q242" s="27">
        <f t="shared" si="176"/>
        <v>5572.7999999999984</v>
      </c>
      <c r="R242" s="27">
        <f t="shared" si="177"/>
        <v>6091.2</v>
      </c>
      <c r="S242" s="27">
        <f t="shared" si="178"/>
        <v>-10067.400000000001</v>
      </c>
      <c r="T242" s="27">
        <f t="shared" si="179"/>
        <v>6341.3774999999951</v>
      </c>
      <c r="U242" s="27">
        <f t="shared" si="180"/>
        <v>-211390.02000000002</v>
      </c>
      <c r="V242" s="16">
        <f t="shared" si="181"/>
        <v>0.9</v>
      </c>
      <c r="W242" s="27">
        <f t="shared" si="182"/>
        <v>5707.2397499999961</v>
      </c>
      <c r="X242" s="27">
        <f t="shared" si="183"/>
        <v>-190251.01800000001</v>
      </c>
      <c r="Y242" s="27">
        <f t="shared" si="184"/>
        <v>190251.01800000001</v>
      </c>
    </row>
    <row r="243" spans="2:25">
      <c r="B243" s="22">
        <v>0.45</v>
      </c>
      <c r="C243" s="23">
        <f t="shared" si="190"/>
        <v>19.285714285714288</v>
      </c>
      <c r="D243" s="29">
        <f t="shared" si="185"/>
        <v>6.0646900269541788E-2</v>
      </c>
      <c r="E243" s="36">
        <f t="shared" si="168"/>
        <v>-1.5555555555555554E-4</v>
      </c>
      <c r="F243" s="17">
        <f t="shared" si="186"/>
        <v>4.6466666666666663E-2</v>
      </c>
      <c r="G243" s="25">
        <f t="shared" si="187"/>
        <v>-6.6666666666666697E-4</v>
      </c>
      <c r="H243" s="25">
        <f t="shared" si="188"/>
        <v>1.1699999999999997E-2</v>
      </c>
      <c r="I243" s="25">
        <f t="shared" si="189"/>
        <v>3.1766666666666665E-2</v>
      </c>
      <c r="J243" s="16">
        <f t="shared" si="169"/>
        <v>4.413333333333333E-2</v>
      </c>
      <c r="K243" s="26">
        <f t="shared" si="170"/>
        <v>-19.333333333333343</v>
      </c>
      <c r="L243" s="26">
        <f t="shared" si="171"/>
        <v>80</v>
      </c>
      <c r="M243" s="26">
        <f t="shared" si="172"/>
        <v>80</v>
      </c>
      <c r="N243" s="26">
        <f t="shared" si="173"/>
        <v>80</v>
      </c>
      <c r="O243" s="27">
        <f t="shared" si="174"/>
        <v>-1472.0400000000006</v>
      </c>
      <c r="P243" s="27">
        <f t="shared" si="175"/>
        <v>5572.7999999999984</v>
      </c>
      <c r="Q243" s="27">
        <f t="shared" si="176"/>
        <v>5572.7999999999984</v>
      </c>
      <c r="R243" s="27">
        <f t="shared" si="177"/>
        <v>6091.2</v>
      </c>
      <c r="S243" s="27">
        <f t="shared" si="178"/>
        <v>-11325.825000000003</v>
      </c>
      <c r="T243" s="27">
        <f t="shared" si="179"/>
        <v>4438.9349999999922</v>
      </c>
      <c r="U243" s="27">
        <f t="shared" si="180"/>
        <v>-234455.28468750001</v>
      </c>
      <c r="V243" s="16">
        <f t="shared" si="181"/>
        <v>0.9</v>
      </c>
      <c r="W243" s="27">
        <f t="shared" si="182"/>
        <v>3995.041499999993</v>
      </c>
      <c r="X243" s="27">
        <f t="shared" si="183"/>
        <v>-211009.75621875</v>
      </c>
      <c r="Y243" s="27">
        <f t="shared" si="184"/>
        <v>211009.75621875</v>
      </c>
    </row>
    <row r="244" spans="2:25">
      <c r="B244" s="22">
        <v>0.5</v>
      </c>
      <c r="C244" s="23">
        <f t="shared" si="190"/>
        <v>21.428571428571431</v>
      </c>
      <c r="D244" s="29">
        <f t="shared" si="185"/>
        <v>6.7385444743935319E-2</v>
      </c>
      <c r="E244" s="36">
        <f t="shared" si="168"/>
        <v>-1.3999999999999999E-4</v>
      </c>
      <c r="F244" s="17">
        <f t="shared" si="186"/>
        <v>4.1519999999999994E-2</v>
      </c>
      <c r="G244" s="25">
        <f t="shared" si="187"/>
        <v>-9.0000000000000019E-4</v>
      </c>
      <c r="H244" s="25">
        <f t="shared" si="188"/>
        <v>1.023E-2</v>
      </c>
      <c r="I244" s="25">
        <f t="shared" si="189"/>
        <v>2.8289999999999996E-2</v>
      </c>
      <c r="J244" s="16">
        <f t="shared" si="169"/>
        <v>3.9419999999999997E-2</v>
      </c>
      <c r="K244" s="26">
        <f t="shared" si="170"/>
        <v>-26.100000000000005</v>
      </c>
      <c r="L244" s="26">
        <f t="shared" si="171"/>
        <v>80</v>
      </c>
      <c r="M244" s="26">
        <f t="shared" si="172"/>
        <v>80</v>
      </c>
      <c r="N244" s="26">
        <f t="shared" si="173"/>
        <v>80</v>
      </c>
      <c r="O244" s="27">
        <f t="shared" si="174"/>
        <v>-1987.2540000000004</v>
      </c>
      <c r="P244" s="27">
        <f t="shared" si="175"/>
        <v>5572.7999999999984</v>
      </c>
      <c r="Q244" s="27">
        <f t="shared" si="176"/>
        <v>5572.7999999999984</v>
      </c>
      <c r="R244" s="27">
        <f t="shared" si="177"/>
        <v>6091.2</v>
      </c>
      <c r="S244" s="27">
        <f t="shared" si="178"/>
        <v>-12584.25</v>
      </c>
      <c r="T244" s="27">
        <f t="shared" si="179"/>
        <v>2665.2959999999948</v>
      </c>
      <c r="U244" s="27">
        <f t="shared" si="180"/>
        <v>-255817.60424999997</v>
      </c>
      <c r="V244" s="16">
        <f t="shared" si="181"/>
        <v>0.9</v>
      </c>
      <c r="W244" s="27">
        <f t="shared" si="182"/>
        <v>2398.7663999999954</v>
      </c>
      <c r="X244" s="27">
        <f t="shared" si="183"/>
        <v>-230235.84382499999</v>
      </c>
      <c r="Y244" s="27">
        <f t="shared" si="184"/>
        <v>230235.84382499999</v>
      </c>
    </row>
    <row r="245" spans="2:25">
      <c r="B245" s="22">
        <v>0.55000000000000004</v>
      </c>
      <c r="C245" s="23">
        <f t="shared" si="190"/>
        <v>23.571428571428573</v>
      </c>
      <c r="D245" s="29">
        <f t="shared" si="185"/>
        <v>7.4123989218328842E-2</v>
      </c>
      <c r="E245" s="36">
        <f t="shared" si="168"/>
        <v>-1.2727272727272725E-4</v>
      </c>
      <c r="F245" s="17">
        <f t="shared" si="186"/>
        <v>3.7472727272727269E-2</v>
      </c>
      <c r="G245" s="25">
        <f t="shared" si="187"/>
        <v>-1.090909090909091E-3</v>
      </c>
      <c r="H245" s="25">
        <f t="shared" si="188"/>
        <v>9.0272727272727258E-3</v>
      </c>
      <c r="I245" s="25">
        <f t="shared" si="189"/>
        <v>2.5445454545454538E-2</v>
      </c>
      <c r="J245" s="16">
        <f t="shared" si="169"/>
        <v>3.556363636363636E-2</v>
      </c>
      <c r="K245" s="26">
        <f t="shared" si="170"/>
        <v>-31.636363636363637</v>
      </c>
      <c r="L245" s="26">
        <f t="shared" si="171"/>
        <v>80</v>
      </c>
      <c r="M245" s="26">
        <f t="shared" si="172"/>
        <v>80</v>
      </c>
      <c r="N245" s="26">
        <f t="shared" si="173"/>
        <v>80</v>
      </c>
      <c r="O245" s="27">
        <f t="shared" si="174"/>
        <v>-2408.7927272727275</v>
      </c>
      <c r="P245" s="27">
        <f t="shared" si="175"/>
        <v>5572.7999999999984</v>
      </c>
      <c r="Q245" s="27">
        <f t="shared" si="176"/>
        <v>5572.7999999999984</v>
      </c>
      <c r="R245" s="27">
        <f t="shared" si="177"/>
        <v>6091.2</v>
      </c>
      <c r="S245" s="27">
        <f t="shared" si="178"/>
        <v>-13842.675000000001</v>
      </c>
      <c r="T245" s="27">
        <f t="shared" si="179"/>
        <v>985.33227272726981</v>
      </c>
      <c r="U245" s="27">
        <f t="shared" si="180"/>
        <v>-275898.51741477271</v>
      </c>
      <c r="V245" s="16">
        <f t="shared" si="181"/>
        <v>0.9</v>
      </c>
      <c r="W245" s="27">
        <f t="shared" si="182"/>
        <v>886.79904545454281</v>
      </c>
      <c r="X245" s="27">
        <f t="shared" si="183"/>
        <v>-248308.66567329544</v>
      </c>
      <c r="Y245" s="27">
        <f t="shared" si="184"/>
        <v>248308.66567329544</v>
      </c>
    </row>
    <row r="246" spans="2:25">
      <c r="B246" s="22">
        <v>0.6</v>
      </c>
      <c r="C246" s="23">
        <f t="shared" si="190"/>
        <v>25.714285714285715</v>
      </c>
      <c r="D246" s="29">
        <f t="shared" si="185"/>
        <v>8.086253369272238E-2</v>
      </c>
      <c r="E246" s="36">
        <f t="shared" si="168"/>
        <v>-1.1666666666666667E-4</v>
      </c>
      <c r="F246" s="17">
        <f t="shared" si="186"/>
        <v>3.4099999999999998E-2</v>
      </c>
      <c r="G246" s="25">
        <f t="shared" si="187"/>
        <v>-1.25E-3</v>
      </c>
      <c r="H246" s="25">
        <f t="shared" si="188"/>
        <v>8.0249999999999991E-3</v>
      </c>
      <c r="I246" s="25">
        <f t="shared" si="189"/>
        <v>2.3074999999999998E-2</v>
      </c>
      <c r="J246" s="16">
        <f t="shared" si="169"/>
        <v>3.2349999999999997E-2</v>
      </c>
      <c r="K246" s="26">
        <f t="shared" si="170"/>
        <v>-36.25</v>
      </c>
      <c r="L246" s="26">
        <f t="shared" si="171"/>
        <v>80</v>
      </c>
      <c r="M246" s="26">
        <f t="shared" si="172"/>
        <v>80</v>
      </c>
      <c r="N246" s="26">
        <f t="shared" si="173"/>
        <v>80</v>
      </c>
      <c r="O246" s="27">
        <f t="shared" si="174"/>
        <v>-2760.0749999999998</v>
      </c>
      <c r="P246" s="27">
        <f t="shared" si="175"/>
        <v>5572.7999999999984</v>
      </c>
      <c r="Q246" s="27">
        <f t="shared" si="176"/>
        <v>5572.7999999999984</v>
      </c>
      <c r="R246" s="27">
        <f t="shared" si="177"/>
        <v>6091.2</v>
      </c>
      <c r="S246" s="27">
        <f t="shared" si="178"/>
        <v>-15101.1</v>
      </c>
      <c r="T246" s="27">
        <f t="shared" si="179"/>
        <v>-624.37500000000182</v>
      </c>
      <c r="U246" s="27">
        <f t="shared" si="180"/>
        <v>-294979.05</v>
      </c>
      <c r="V246" s="16">
        <f t="shared" si="181"/>
        <v>0.9</v>
      </c>
      <c r="W246" s="27">
        <f t="shared" si="182"/>
        <v>-561.93750000000171</v>
      </c>
      <c r="X246" s="27">
        <f t="shared" si="183"/>
        <v>-265481.14500000002</v>
      </c>
      <c r="Y246" s="27">
        <f t="shared" si="184"/>
        <v>265481.14500000002</v>
      </c>
    </row>
    <row r="247" spans="2:25">
      <c r="B247" s="22">
        <v>0.65</v>
      </c>
      <c r="C247" s="23">
        <f t="shared" si="190"/>
        <v>27.857142857142861</v>
      </c>
      <c r="D247" s="29">
        <f t="shared" si="185"/>
        <v>8.7601078167115917E-2</v>
      </c>
      <c r="E247" s="36">
        <f t="shared" si="168"/>
        <v>-1.0769230769230768E-4</v>
      </c>
      <c r="F247" s="17">
        <f t="shared" si="186"/>
        <v>3.124615384615384E-2</v>
      </c>
      <c r="G247" s="25">
        <f t="shared" si="187"/>
        <v>-1.384615384615385E-3</v>
      </c>
      <c r="H247" s="25">
        <f t="shared" si="188"/>
        <v>7.1769230769230755E-3</v>
      </c>
      <c r="I247" s="25">
        <f t="shared" si="189"/>
        <v>2.1069230769230767E-2</v>
      </c>
      <c r="J247" s="16">
        <f t="shared" si="169"/>
        <v>2.9630769230769224E-2</v>
      </c>
      <c r="K247" s="26">
        <f t="shared" si="170"/>
        <v>-40.15384615384616</v>
      </c>
      <c r="L247" s="26">
        <f t="shared" si="171"/>
        <v>80</v>
      </c>
      <c r="M247" s="26">
        <f t="shared" si="172"/>
        <v>80</v>
      </c>
      <c r="N247" s="26">
        <f t="shared" si="173"/>
        <v>80</v>
      </c>
      <c r="O247" s="27">
        <f t="shared" si="174"/>
        <v>-3057.3138461538465</v>
      </c>
      <c r="P247" s="27">
        <f t="shared" si="175"/>
        <v>5572.7999999999984</v>
      </c>
      <c r="Q247" s="27">
        <f t="shared" si="176"/>
        <v>5572.7999999999984</v>
      </c>
      <c r="R247" s="27">
        <f t="shared" si="177"/>
        <v>6091.2</v>
      </c>
      <c r="S247" s="27">
        <f t="shared" si="178"/>
        <v>-16359.525</v>
      </c>
      <c r="T247" s="27">
        <f t="shared" si="179"/>
        <v>-2180.0388461538496</v>
      </c>
      <c r="U247" s="27">
        <f t="shared" si="180"/>
        <v>-313253.75834134611</v>
      </c>
      <c r="V247" s="16">
        <f t="shared" si="181"/>
        <v>0.9</v>
      </c>
      <c r="W247" s="27">
        <f t="shared" si="182"/>
        <v>-1962.0349615384646</v>
      </c>
      <c r="X247" s="27">
        <f t="shared" si="183"/>
        <v>-281928.38250721153</v>
      </c>
      <c r="Y247" s="27">
        <f t="shared" si="184"/>
        <v>281928.38250721153</v>
      </c>
    </row>
    <row r="248" spans="2:25">
      <c r="B248" s="22">
        <v>0.7</v>
      </c>
      <c r="C248" s="23">
        <f t="shared" si="190"/>
        <v>30</v>
      </c>
      <c r="D248" s="29">
        <f t="shared" si="185"/>
        <v>9.4339622641509441E-2</v>
      </c>
      <c r="E248" s="36">
        <f t="shared" si="168"/>
        <v>-1E-4</v>
      </c>
      <c r="F248" s="17">
        <f t="shared" si="186"/>
        <v>2.8800000000000003E-2</v>
      </c>
      <c r="G248" s="25">
        <f t="shared" si="187"/>
        <v>-1.5E-3</v>
      </c>
      <c r="H248" s="25">
        <f t="shared" si="188"/>
        <v>6.45E-3</v>
      </c>
      <c r="I248" s="25">
        <f t="shared" si="189"/>
        <v>1.9350000000000003E-2</v>
      </c>
      <c r="J248" s="16">
        <f t="shared" si="169"/>
        <v>2.7300000000000001E-2</v>
      </c>
      <c r="K248" s="26">
        <f t="shared" si="170"/>
        <v>-43.5</v>
      </c>
      <c r="L248" s="26">
        <f t="shared" si="171"/>
        <v>80</v>
      </c>
      <c r="M248" s="26">
        <f t="shared" si="172"/>
        <v>80</v>
      </c>
      <c r="N248" s="26">
        <f t="shared" si="173"/>
        <v>80</v>
      </c>
      <c r="O248" s="27">
        <f t="shared" si="174"/>
        <v>-3312.09</v>
      </c>
      <c r="P248" s="27">
        <f t="shared" si="175"/>
        <v>5572.7999999999984</v>
      </c>
      <c r="Q248" s="27">
        <f t="shared" si="176"/>
        <v>5572.7999999999984</v>
      </c>
      <c r="R248" s="27">
        <f t="shared" si="177"/>
        <v>6091.2</v>
      </c>
      <c r="S248" s="27">
        <f t="shared" si="178"/>
        <v>-17617.95</v>
      </c>
      <c r="T248" s="27">
        <f t="shared" si="179"/>
        <v>-3693.2400000000052</v>
      </c>
      <c r="U248" s="27">
        <f t="shared" si="180"/>
        <v>-330861.61125000002</v>
      </c>
      <c r="V248" s="16">
        <f t="shared" si="181"/>
        <v>0.9</v>
      </c>
      <c r="W248" s="27">
        <f t="shared" si="182"/>
        <v>-3323.9160000000047</v>
      </c>
      <c r="X248" s="27">
        <f t="shared" si="183"/>
        <v>-297775.45012500003</v>
      </c>
      <c r="Y248" s="27">
        <f t="shared" si="184"/>
        <v>297775.45012500003</v>
      </c>
    </row>
    <row r="249" spans="2:25">
      <c r="B249" s="22">
        <v>0.75</v>
      </c>
      <c r="C249" s="23">
        <f t="shared" si="190"/>
        <v>32.142857142857139</v>
      </c>
      <c r="D249" s="29">
        <f t="shared" si="185"/>
        <v>0.10107816711590295</v>
      </c>
      <c r="E249" s="36">
        <f t="shared" si="168"/>
        <v>-9.3333333333333343E-5</v>
      </c>
      <c r="F249" s="17">
        <f t="shared" si="186"/>
        <v>2.6680000000000006E-2</v>
      </c>
      <c r="G249" s="25">
        <f t="shared" si="187"/>
        <v>-1.5999999999999999E-3</v>
      </c>
      <c r="H249" s="25">
        <f t="shared" si="188"/>
        <v>5.8200000000000014E-3</v>
      </c>
      <c r="I249" s="25">
        <f t="shared" si="189"/>
        <v>1.7860000000000001E-2</v>
      </c>
      <c r="J249" s="16">
        <f t="shared" si="169"/>
        <v>2.5280000000000007E-2</v>
      </c>
      <c r="K249" s="26">
        <f t="shared" si="170"/>
        <v>-46.4</v>
      </c>
      <c r="L249" s="26">
        <f t="shared" si="171"/>
        <v>80</v>
      </c>
      <c r="M249" s="26">
        <f t="shared" si="172"/>
        <v>80</v>
      </c>
      <c r="N249" s="26">
        <f t="shared" si="173"/>
        <v>80</v>
      </c>
      <c r="O249" s="27">
        <f t="shared" si="174"/>
        <v>-3532.8959999999997</v>
      </c>
      <c r="P249" s="27">
        <f t="shared" si="175"/>
        <v>5572.7999999999984</v>
      </c>
      <c r="Q249" s="27">
        <f t="shared" si="176"/>
        <v>5572.7999999999984</v>
      </c>
      <c r="R249" s="27">
        <f t="shared" si="177"/>
        <v>6091.2</v>
      </c>
      <c r="S249" s="27">
        <f t="shared" si="178"/>
        <v>-18876.374999999996</v>
      </c>
      <c r="T249" s="27">
        <f t="shared" si="179"/>
        <v>-5172.4709999999995</v>
      </c>
      <c r="U249" s="27">
        <f t="shared" si="180"/>
        <v>-347904.51918749994</v>
      </c>
      <c r="V249" s="16">
        <f t="shared" si="181"/>
        <v>0.9</v>
      </c>
      <c r="W249" s="27">
        <f t="shared" si="182"/>
        <v>-4655.2239</v>
      </c>
      <c r="X249" s="27">
        <f t="shared" si="183"/>
        <v>-313114.06726874993</v>
      </c>
      <c r="Y249" s="27">
        <f t="shared" si="184"/>
        <v>313114.06726874993</v>
      </c>
    </row>
    <row r="250" spans="2:25">
      <c r="B250" s="22">
        <v>0.8</v>
      </c>
      <c r="C250" s="23">
        <f t="shared" si="190"/>
        <v>34.285714285714292</v>
      </c>
      <c r="D250" s="29">
        <f t="shared" si="185"/>
        <v>0.10781671159029652</v>
      </c>
      <c r="E250" s="36">
        <f t="shared" si="168"/>
        <v>-8.7499999999999986E-5</v>
      </c>
      <c r="F250" s="17">
        <f t="shared" si="186"/>
        <v>2.4824999999999996E-2</v>
      </c>
      <c r="G250" s="25">
        <f t="shared" si="187"/>
        <v>-1.6875000000000002E-3</v>
      </c>
      <c r="H250" s="25">
        <f t="shared" si="188"/>
        <v>5.2687499999999983E-3</v>
      </c>
      <c r="I250" s="25">
        <f t="shared" si="189"/>
        <v>1.6556249999999998E-2</v>
      </c>
      <c r="J250" s="16">
        <f t="shared" si="169"/>
        <v>2.3512499999999995E-2</v>
      </c>
      <c r="K250" s="26">
        <f t="shared" si="170"/>
        <v>-48.937500000000007</v>
      </c>
      <c r="L250" s="26">
        <f t="shared" si="171"/>
        <v>80</v>
      </c>
      <c r="M250" s="26">
        <f t="shared" si="172"/>
        <v>80</v>
      </c>
      <c r="N250" s="26">
        <f t="shared" si="173"/>
        <v>80</v>
      </c>
      <c r="O250" s="27">
        <f t="shared" si="174"/>
        <v>-3726.1012500000006</v>
      </c>
      <c r="P250" s="27">
        <f t="shared" si="175"/>
        <v>5572.7999999999984</v>
      </c>
      <c r="Q250" s="27">
        <f t="shared" si="176"/>
        <v>5572.7999999999984</v>
      </c>
      <c r="R250" s="27">
        <f t="shared" si="177"/>
        <v>6091.2</v>
      </c>
      <c r="S250" s="27">
        <f t="shared" si="178"/>
        <v>-20134.800000000003</v>
      </c>
      <c r="T250" s="27">
        <f t="shared" si="179"/>
        <v>-6624.101250000007</v>
      </c>
      <c r="U250" s="27">
        <f t="shared" si="180"/>
        <v>-364458.91500000004</v>
      </c>
      <c r="V250" s="16">
        <f t="shared" si="181"/>
        <v>0.9</v>
      </c>
      <c r="W250" s="27">
        <f t="shared" si="182"/>
        <v>-5961.6911250000067</v>
      </c>
      <c r="X250" s="27">
        <f t="shared" si="183"/>
        <v>-328013.02350000007</v>
      </c>
      <c r="Y250" s="27">
        <f t="shared" si="184"/>
        <v>328013.02350000007</v>
      </c>
    </row>
    <row r="251" spans="2:25">
      <c r="B251" s="22">
        <v>0.85</v>
      </c>
      <c r="C251" s="23">
        <f t="shared" si="190"/>
        <v>36.428571428571431</v>
      </c>
      <c r="D251" s="29">
        <f t="shared" si="185"/>
        <v>0.11455525606469004</v>
      </c>
      <c r="E251" s="36">
        <f t="shared" si="168"/>
        <v>-8.2352941176470581E-5</v>
      </c>
      <c r="F251" s="17">
        <f t="shared" si="186"/>
        <v>2.3188235294117645E-2</v>
      </c>
      <c r="G251" s="25">
        <f t="shared" si="187"/>
        <v>-1.7647058823529412E-3</v>
      </c>
      <c r="H251" s="25">
        <f t="shared" si="188"/>
        <v>4.7823529411764702E-3</v>
      </c>
      <c r="I251" s="25">
        <f t="shared" si="189"/>
        <v>1.5405882352941174E-2</v>
      </c>
      <c r="J251" s="16">
        <f t="shared" si="169"/>
        <v>2.1952941176470585E-2</v>
      </c>
      <c r="K251" s="26">
        <f t="shared" si="170"/>
        <v>-51.176470588235297</v>
      </c>
      <c r="L251" s="26">
        <f t="shared" si="171"/>
        <v>80</v>
      </c>
      <c r="M251" s="26">
        <f t="shared" si="172"/>
        <v>80</v>
      </c>
      <c r="N251" s="26">
        <f t="shared" si="173"/>
        <v>80</v>
      </c>
      <c r="O251" s="27">
        <f t="shared" si="174"/>
        <v>-3896.5764705882357</v>
      </c>
      <c r="P251" s="27">
        <f t="shared" si="175"/>
        <v>5572.7999999999984</v>
      </c>
      <c r="Q251" s="27">
        <f t="shared" si="176"/>
        <v>5572.7999999999984</v>
      </c>
      <c r="R251" s="27">
        <f t="shared" si="177"/>
        <v>6091.2</v>
      </c>
      <c r="S251" s="27">
        <f t="shared" si="178"/>
        <v>-21393.225000000002</v>
      </c>
      <c r="T251" s="27">
        <f t="shared" si="179"/>
        <v>-8053.0014705882422</v>
      </c>
      <c r="U251" s="27">
        <f t="shared" si="180"/>
        <v>-380583.24733455881</v>
      </c>
      <c r="V251" s="16">
        <f t="shared" si="181"/>
        <v>0.9</v>
      </c>
      <c r="W251" s="27">
        <f t="shared" si="182"/>
        <v>-7247.701323529418</v>
      </c>
      <c r="X251" s="27">
        <f t="shared" si="183"/>
        <v>-342524.92260110291</v>
      </c>
      <c r="Y251" s="27">
        <f t="shared" si="184"/>
        <v>342524.92260110291</v>
      </c>
    </row>
    <row r="252" spans="2:25">
      <c r="B252" s="22">
        <v>0.9</v>
      </c>
      <c r="C252" s="23">
        <f t="shared" si="190"/>
        <v>38.571428571428577</v>
      </c>
      <c r="D252" s="29">
        <f t="shared" si="185"/>
        <v>0.12129380053908358</v>
      </c>
      <c r="E252" s="36">
        <f t="shared" si="168"/>
        <v>-7.7777777777777768E-5</v>
      </c>
      <c r="F252" s="17">
        <f t="shared" si="186"/>
        <v>2.173333333333333E-2</v>
      </c>
      <c r="G252" s="25">
        <f t="shared" si="187"/>
        <v>-1.8333333333333335E-3</v>
      </c>
      <c r="H252" s="25">
        <f t="shared" si="188"/>
        <v>4.3499999999999988E-3</v>
      </c>
      <c r="I252" s="25">
        <f t="shared" si="189"/>
        <v>1.4383333333333331E-2</v>
      </c>
      <c r="J252" s="16">
        <f t="shared" si="169"/>
        <v>2.0566666666666664E-2</v>
      </c>
      <c r="K252" s="26">
        <f t="shared" si="170"/>
        <v>-53.166666666666671</v>
      </c>
      <c r="L252" s="26">
        <f t="shared" si="171"/>
        <v>80</v>
      </c>
      <c r="M252" s="26">
        <f t="shared" si="172"/>
        <v>80</v>
      </c>
      <c r="N252" s="26">
        <f t="shared" si="173"/>
        <v>80</v>
      </c>
      <c r="O252" s="27">
        <f t="shared" si="174"/>
        <v>-4048.1100000000006</v>
      </c>
      <c r="P252" s="27">
        <f t="shared" si="175"/>
        <v>5572.7999999999984</v>
      </c>
      <c r="Q252" s="27">
        <f t="shared" si="176"/>
        <v>5572.7999999999984</v>
      </c>
      <c r="R252" s="27">
        <f t="shared" si="177"/>
        <v>6091.2</v>
      </c>
      <c r="S252" s="27">
        <f t="shared" si="178"/>
        <v>-22651.650000000005</v>
      </c>
      <c r="T252" s="27">
        <f t="shared" si="179"/>
        <v>-9462.96000000001</v>
      </c>
      <c r="U252" s="27">
        <f t="shared" si="180"/>
        <v>-396322.97625000007</v>
      </c>
      <c r="V252" s="16">
        <f t="shared" si="181"/>
        <v>0.9</v>
      </c>
      <c r="W252" s="27">
        <f t="shared" si="182"/>
        <v>-8516.6640000000098</v>
      </c>
      <c r="X252" s="27">
        <f t="shared" si="183"/>
        <v>-356690.67862500006</v>
      </c>
      <c r="Y252" s="27">
        <f t="shared" si="184"/>
        <v>356690.67862500006</v>
      </c>
    </row>
    <row r="253" spans="2:25">
      <c r="U253" s="27">
        <f t="shared" si="180"/>
        <v>0</v>
      </c>
    </row>
  </sheetData>
  <sheetProtection algorithmName="SHA-512" hashValue="/JnWnrAGlVjcSWf/jCDs/d35g7zhPA+OEn+VXsoH5EYXZpq5KiQPiyvFYV3qZjrK3y9AVmBw/mqAW1wqjYUU6w==" saltValue="y5Ke3xS0ur0l4kr0hLuzVg==" spinCount="100000" sheet="1" objects="1" scenarios="1"/>
  <pageMargins left="0.7" right="0.7" top="0.75" bottom="0.75" header="0.3" footer="0.3"/>
  <pageSetup scale="48" fitToHeight="0" orientation="landscape" r:id="rId1"/>
  <rowBreaks count="1" manualBreakCount="1">
    <brk id="141" max="25" man="1"/>
  </rowBreaks>
  <colBreaks count="1" manualBreakCount="1">
    <brk id="26" max="252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EF15D-DB38-4C1E-9775-CF05CEF35927}">
  <dimension ref="A1:K32"/>
  <sheetViews>
    <sheetView tabSelected="1" zoomScale="145" zoomScaleNormal="145" workbookViewId="0">
      <selection activeCell="H14" sqref="H14"/>
    </sheetView>
  </sheetViews>
  <sheetFormatPr defaultColWidth="8.90625" defaultRowHeight="14.5"/>
  <cols>
    <col min="1" max="1" width="8.90625" style="8"/>
    <col min="2" max="2" width="28.81640625" style="8" bestFit="1" customWidth="1"/>
    <col min="3" max="5" width="8.90625" style="8" customWidth="1"/>
    <col min="6" max="6" width="8.90625" style="8"/>
    <col min="7" max="7" width="11" style="8" bestFit="1" customWidth="1"/>
    <col min="8" max="16384" width="8.90625" style="8"/>
  </cols>
  <sheetData>
    <row r="1" spans="1:11">
      <c r="A1" s="86" t="s">
        <v>77</v>
      </c>
      <c r="B1" s="87"/>
      <c r="C1" s="87"/>
      <c r="D1" s="87"/>
      <c r="E1" s="87"/>
      <c r="F1" s="87"/>
      <c r="G1" s="87"/>
      <c r="H1" s="87"/>
      <c r="I1" s="87"/>
      <c r="J1" s="87"/>
      <c r="K1" s="88"/>
    </row>
    <row r="2" spans="1:11" ht="22">
      <c r="A2" s="37" t="s">
        <v>67</v>
      </c>
      <c r="B2" s="37" t="s">
        <v>68</v>
      </c>
      <c r="C2" s="37" t="s">
        <v>63</v>
      </c>
      <c r="D2" s="37" t="s">
        <v>73</v>
      </c>
      <c r="E2" s="37" t="s">
        <v>74</v>
      </c>
      <c r="F2" s="68" t="s">
        <v>177</v>
      </c>
      <c r="G2" s="84" t="s">
        <v>196</v>
      </c>
      <c r="H2" s="37" t="s">
        <v>197</v>
      </c>
      <c r="I2" s="37" t="s">
        <v>84</v>
      </c>
      <c r="J2" s="37" t="s">
        <v>86</v>
      </c>
      <c r="K2" s="37" t="s">
        <v>146</v>
      </c>
    </row>
    <row r="3" spans="1:11">
      <c r="A3" s="37"/>
      <c r="B3" s="37"/>
      <c r="C3" s="37" t="s">
        <v>75</v>
      </c>
      <c r="D3" s="37" t="s">
        <v>76</v>
      </c>
      <c r="E3" s="37" t="s">
        <v>75</v>
      </c>
      <c r="F3" s="69" t="s">
        <v>83</v>
      </c>
      <c r="G3" s="37" t="s">
        <v>132</v>
      </c>
      <c r="H3" s="37" t="s">
        <v>132</v>
      </c>
      <c r="I3" s="37"/>
      <c r="J3" s="37" t="s">
        <v>132</v>
      </c>
      <c r="K3" s="37" t="s">
        <v>85</v>
      </c>
    </row>
    <row r="4" spans="1:11">
      <c r="A4" s="37">
        <v>1</v>
      </c>
      <c r="B4" s="37" t="s">
        <v>69</v>
      </c>
      <c r="C4" s="37">
        <v>6581</v>
      </c>
      <c r="D4" s="37">
        <v>39175</v>
      </c>
      <c r="E4" s="37">
        <v>1467</v>
      </c>
      <c r="F4" s="37">
        <v>6.3E-3</v>
      </c>
      <c r="G4" s="22">
        <f>141/(600*(1.5*F4))</f>
        <v>24.867724867724867</v>
      </c>
      <c r="H4" s="81">
        <f>'ID (X) (30")'!X243</f>
        <v>26.18654786973616</v>
      </c>
      <c r="I4" s="37" t="str">
        <f>IF(G4&gt;H4,"Not req.","Req")</f>
        <v>Req</v>
      </c>
      <c r="J4" s="37">
        <f>IF(I4="Not req.","NA",MAX(30,MIN(H4/2,(H4-0.1*141))))</f>
        <v>30</v>
      </c>
      <c r="K4" s="22">
        <f>MAX(141/12,D4/4/E4)</f>
        <v>11.75</v>
      </c>
    </row>
    <row r="5" spans="1:11">
      <c r="A5" s="37">
        <v>2</v>
      </c>
      <c r="B5" s="37" t="s">
        <v>70</v>
      </c>
      <c r="C5" s="37">
        <v>-13858</v>
      </c>
      <c r="D5" s="37">
        <v>-38835</v>
      </c>
      <c r="E5" s="37">
        <v>-1419</v>
      </c>
      <c r="F5" s="37">
        <f>F4</f>
        <v>6.3E-3</v>
      </c>
      <c r="G5" s="22">
        <f>141/(600*(1.5*F5))</f>
        <v>24.867724867724867</v>
      </c>
      <c r="H5" s="81">
        <f>'ID (X) (30")'!X251</f>
        <v>16.176360202156545</v>
      </c>
      <c r="I5" s="37" t="str">
        <f>IF(G5&gt;H5,"Not req.","Req")</f>
        <v>Not req.</v>
      </c>
      <c r="J5" s="37" t="str">
        <f>IF(I5="Not req.","NA",MAX(30,MIN(H5/2,(H5-0.1*141))))</f>
        <v>NA</v>
      </c>
      <c r="K5" s="22">
        <f>MAX(141/12,D5/4/E5)</f>
        <v>11.75</v>
      </c>
    </row>
    <row r="6" spans="1:11">
      <c r="A6" s="37">
        <v>3</v>
      </c>
      <c r="B6" s="37" t="s">
        <v>71</v>
      </c>
      <c r="C6" s="37">
        <v>1522</v>
      </c>
      <c r="D6" s="37">
        <v>39418</v>
      </c>
      <c r="E6" s="37">
        <v>1503</v>
      </c>
      <c r="F6" s="37">
        <f>F5</f>
        <v>6.3E-3</v>
      </c>
      <c r="G6" s="22">
        <f>141/(600*(1.5*F6))</f>
        <v>24.867724867724867</v>
      </c>
      <c r="H6" s="81">
        <f>'ID (X) (30")'!X247</f>
        <v>38.497476345715327</v>
      </c>
      <c r="I6" s="37" t="str">
        <f>IF(G6&gt;H6,"Not req.","Req")</f>
        <v>Req</v>
      </c>
      <c r="J6" s="37">
        <f>IF(I6="Not req.","NA",MAX(30,MIN(H6/2,(H6-0.1*141))))</f>
        <v>30</v>
      </c>
      <c r="K6" s="22">
        <f>MAX(141/12,D6/4/E6)</f>
        <v>11.75</v>
      </c>
    </row>
    <row r="7" spans="1:11">
      <c r="A7" s="37">
        <v>4</v>
      </c>
      <c r="B7" s="37" t="s">
        <v>72</v>
      </c>
      <c r="C7" s="37">
        <v>-19139</v>
      </c>
      <c r="D7" s="37">
        <v>-39418</v>
      </c>
      <c r="E7" s="37">
        <v>1383</v>
      </c>
      <c r="F7" s="37">
        <f>F6</f>
        <v>6.3E-3</v>
      </c>
      <c r="G7" s="22">
        <f>141/(600*(1.5*F7))</f>
        <v>24.867724867724867</v>
      </c>
      <c r="H7" s="81">
        <f>'ID (X) (30")'!X255</f>
        <v>19.028473183557551</v>
      </c>
      <c r="I7" s="37" t="str">
        <f>IF(G7&gt;H7,"Not req.","Req")</f>
        <v>Not req.</v>
      </c>
      <c r="J7" s="37" t="str">
        <f>IF(I7="Not req.","NA",MAX(30,MIN(H7/2,(H7-0.1*141))))</f>
        <v>NA</v>
      </c>
      <c r="K7" s="22">
        <f>MAX(141/12,D7/4/E7)</f>
        <v>11.75</v>
      </c>
    </row>
    <row r="8" spans="1:1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1">
      <c r="A10" s="86" t="s">
        <v>78</v>
      </c>
      <c r="B10" s="87"/>
      <c r="C10" s="87"/>
      <c r="D10" s="87"/>
      <c r="E10" s="87"/>
      <c r="F10" s="87"/>
      <c r="G10" s="87"/>
      <c r="H10" s="87"/>
      <c r="I10" s="87"/>
      <c r="J10" s="87"/>
      <c r="K10" s="88"/>
    </row>
    <row r="11" spans="1:11" ht="22">
      <c r="A11" s="37" t="s">
        <v>67</v>
      </c>
      <c r="B11" s="37" t="s">
        <v>68</v>
      </c>
      <c r="C11" s="37" t="s">
        <v>63</v>
      </c>
      <c r="D11" s="37" t="s">
        <v>73</v>
      </c>
      <c r="E11" s="37" t="s">
        <v>74</v>
      </c>
      <c r="F11" s="68" t="s">
        <v>177</v>
      </c>
      <c r="G11" s="84" t="s">
        <v>196</v>
      </c>
      <c r="H11" s="37" t="s">
        <v>197</v>
      </c>
      <c r="I11" s="37" t="s">
        <v>84</v>
      </c>
      <c r="J11" s="37" t="s">
        <v>86</v>
      </c>
      <c r="K11" s="37" t="s">
        <v>146</v>
      </c>
    </row>
    <row r="12" spans="1:11">
      <c r="A12" s="37"/>
      <c r="B12" s="37"/>
      <c r="C12" s="37" t="s">
        <v>75</v>
      </c>
      <c r="D12" s="37" t="s">
        <v>76</v>
      </c>
      <c r="E12" s="37" t="s">
        <v>75</v>
      </c>
      <c r="F12" s="69" t="s">
        <v>83</v>
      </c>
      <c r="G12" s="37" t="s">
        <v>132</v>
      </c>
      <c r="H12" s="37" t="s">
        <v>132</v>
      </c>
      <c r="I12" s="37"/>
      <c r="J12" s="37" t="s">
        <v>132</v>
      </c>
      <c r="K12" s="37" t="s">
        <v>85</v>
      </c>
    </row>
    <row r="13" spans="1:11">
      <c r="A13" s="37">
        <v>1</v>
      </c>
      <c r="B13" s="37" t="s">
        <v>79</v>
      </c>
      <c r="C13" s="37">
        <v>-3742</v>
      </c>
      <c r="D13" s="37">
        <v>147640</v>
      </c>
      <c r="E13" s="37">
        <v>1450</v>
      </c>
      <c r="F13" s="37">
        <v>6.4999999999999997E-3</v>
      </c>
      <c r="G13" s="22">
        <f>318/(600*(1.5*F13))</f>
        <v>54.358974358974365</v>
      </c>
      <c r="H13" s="37">
        <v>13.8</v>
      </c>
      <c r="I13" s="37" t="str">
        <f>IF(G13&gt;H13,"Not req.","Req")</f>
        <v>Not req.</v>
      </c>
      <c r="J13" s="37" t="str">
        <f>IF(I13="Not req.","NA",MAX(30,MIN(H13/2,(H13-0.1*141))))</f>
        <v>NA</v>
      </c>
      <c r="K13" s="22">
        <f>MAX(318/12,D13/4/E13)</f>
        <v>26.5</v>
      </c>
    </row>
    <row r="14" spans="1:11">
      <c r="A14" s="37">
        <v>2</v>
      </c>
      <c r="B14" s="37" t="s">
        <v>80</v>
      </c>
      <c r="C14" s="37">
        <v>-3742</v>
      </c>
      <c r="D14" s="37">
        <v>-147640</v>
      </c>
      <c r="E14" s="37">
        <v>-1450</v>
      </c>
      <c r="F14" s="37">
        <f>F13</f>
        <v>6.4999999999999997E-3</v>
      </c>
      <c r="G14" s="22">
        <f>318/(600*(1.5*F14))</f>
        <v>54.358974358974365</v>
      </c>
      <c r="H14" s="37">
        <v>13.8</v>
      </c>
      <c r="I14" s="37" t="str">
        <f>IF(G14&gt;H14,"Not req.","Req")</f>
        <v>Not req.</v>
      </c>
      <c r="J14" s="37" t="str">
        <f>IF(I14="Not req.","NA",MAX(30,MIN(H14/2,(H14-0.1*141))))</f>
        <v>NA</v>
      </c>
      <c r="K14" s="22">
        <f>MAX(318/12,D14/4/E14)</f>
        <v>26.5</v>
      </c>
    </row>
    <row r="15" spans="1:11">
      <c r="A15" s="37">
        <v>3</v>
      </c>
      <c r="B15" s="37" t="s">
        <v>81</v>
      </c>
      <c r="C15" s="37">
        <v>-9006</v>
      </c>
      <c r="D15" s="37">
        <v>147640</v>
      </c>
      <c r="E15" s="37">
        <v>1450</v>
      </c>
      <c r="F15" s="37">
        <f>F14</f>
        <v>6.4999999999999997E-3</v>
      </c>
      <c r="G15" s="22">
        <f>318/(600*(1.5*F15))</f>
        <v>54.358974358974365</v>
      </c>
      <c r="H15" s="37">
        <v>22.7</v>
      </c>
      <c r="I15" s="37" t="str">
        <f>IF(G15&gt;H15,"Not req.","Req")</f>
        <v>Not req.</v>
      </c>
      <c r="J15" s="37" t="str">
        <f>IF(I15="Not req.","NA",MAX(30,MIN(H15/2,(H15-0.1*141))))</f>
        <v>NA</v>
      </c>
      <c r="K15" s="22">
        <f>MAX(318/12,D15/4/E15)</f>
        <v>26.5</v>
      </c>
    </row>
    <row r="16" spans="1:11">
      <c r="A16" s="37">
        <v>4</v>
      </c>
      <c r="B16" s="37" t="s">
        <v>82</v>
      </c>
      <c r="C16" s="37">
        <v>-9006</v>
      </c>
      <c r="D16" s="37">
        <v>-147640</v>
      </c>
      <c r="E16" s="37">
        <v>-1450</v>
      </c>
      <c r="F16" s="37">
        <f>F15</f>
        <v>6.4999999999999997E-3</v>
      </c>
      <c r="G16" s="22">
        <f>318/(600*(1.5*F16))</f>
        <v>54.358974358974365</v>
      </c>
      <c r="H16" s="37">
        <v>22.7</v>
      </c>
      <c r="I16" s="37" t="str">
        <f>IF(G16&gt;H16,"Not req.","Req")</f>
        <v>Not req.</v>
      </c>
      <c r="J16" s="37" t="str">
        <f>IF(I16="Not req.","NA",MAX(30,MIN(H16/2,(H16-0.1*141))))</f>
        <v>NA</v>
      </c>
      <c r="K16" s="22">
        <f>MAX(318/12,D16/4/E16)</f>
        <v>26.5</v>
      </c>
    </row>
    <row r="18" spans="1:11">
      <c r="A18" s="37" t="s">
        <v>67</v>
      </c>
      <c r="B18" s="37" t="s">
        <v>68</v>
      </c>
      <c r="C18" s="37" t="s">
        <v>74</v>
      </c>
      <c r="D18" s="68" t="s">
        <v>184</v>
      </c>
      <c r="E18" s="68" t="s">
        <v>185</v>
      </c>
      <c r="F18" s="68" t="s">
        <v>186</v>
      </c>
      <c r="G18" s="68" t="s">
        <v>183</v>
      </c>
      <c r="H18" s="37"/>
      <c r="I18" s="37"/>
      <c r="J18" s="37"/>
      <c r="K18" s="37"/>
    </row>
    <row r="19" spans="1:11">
      <c r="A19" s="37"/>
      <c r="B19" s="37"/>
      <c r="C19" s="37" t="s">
        <v>75</v>
      </c>
      <c r="D19" s="69" t="s">
        <v>83</v>
      </c>
      <c r="E19" s="69" t="s">
        <v>83</v>
      </c>
      <c r="F19" s="69" t="s">
        <v>187</v>
      </c>
      <c r="G19" s="69" t="s">
        <v>75</v>
      </c>
      <c r="H19" s="37"/>
      <c r="I19" s="37"/>
      <c r="J19" s="37"/>
      <c r="K19" s="37"/>
    </row>
    <row r="20" spans="1:11">
      <c r="A20" s="37">
        <v>1</v>
      </c>
      <c r="B20" s="37" t="s">
        <v>69</v>
      </c>
      <c r="C20" s="37">
        <v>1467</v>
      </c>
      <c r="D20" s="22">
        <f>'ID (MX) (30")'!Y9</f>
        <v>2.1267100938637955</v>
      </c>
      <c r="E20" s="37">
        <v>1.7330000000000001</v>
      </c>
      <c r="F20" s="37">
        <f>MIN(D20*E20,3)</f>
        <v>3</v>
      </c>
      <c r="G20" s="22">
        <f>C20*F20</f>
        <v>4401</v>
      </c>
      <c r="H20" s="37"/>
      <c r="I20" s="37"/>
      <c r="J20" s="37"/>
      <c r="K20" s="22"/>
    </row>
    <row r="21" spans="1:11">
      <c r="A21" s="37">
        <v>2</v>
      </c>
      <c r="B21" s="37" t="s">
        <v>70</v>
      </c>
      <c r="C21" s="37">
        <v>-1419</v>
      </c>
      <c r="D21" s="22">
        <f>'ID (MX) (30")'!Y10</f>
        <v>2.5014039794012812</v>
      </c>
      <c r="E21" s="37">
        <v>1.7330000000000001</v>
      </c>
      <c r="F21" s="37">
        <f>MIN(D21*E21,3)</f>
        <v>3</v>
      </c>
      <c r="G21" s="22">
        <f>C21*F21</f>
        <v>-4257</v>
      </c>
      <c r="H21" s="37"/>
      <c r="I21" s="37"/>
      <c r="J21" s="37"/>
      <c r="K21" s="22"/>
    </row>
    <row r="22" spans="1:11">
      <c r="A22" s="37">
        <v>3</v>
      </c>
      <c r="B22" s="37" t="s">
        <v>71</v>
      </c>
      <c r="C22" s="37">
        <v>1503</v>
      </c>
      <c r="D22" s="22">
        <f>'ID (MX) (30")'!Y11</f>
        <v>2.8278663315942976</v>
      </c>
      <c r="E22" s="37">
        <v>1.7330000000000001</v>
      </c>
      <c r="F22" s="37">
        <f>MIN(D22*E22,3)</f>
        <v>3</v>
      </c>
      <c r="G22" s="22">
        <f>C22*F22</f>
        <v>4509</v>
      </c>
      <c r="H22" s="37"/>
      <c r="I22" s="37"/>
      <c r="J22" s="37"/>
      <c r="K22" s="22"/>
    </row>
    <row r="23" spans="1:11">
      <c r="A23" s="37">
        <v>4</v>
      </c>
      <c r="B23" s="37" t="s">
        <v>72</v>
      </c>
      <c r="C23" s="37">
        <v>1383</v>
      </c>
      <c r="D23" s="22">
        <f>'ID (MX) (30")'!Y12</f>
        <v>2.7541771608280361</v>
      </c>
      <c r="E23" s="37">
        <v>1.7330000000000001</v>
      </c>
      <c r="F23" s="37">
        <f>MIN(D23*E23,3)</f>
        <v>3</v>
      </c>
      <c r="G23" s="22">
        <f>C23*F23</f>
        <v>4149</v>
      </c>
      <c r="H23" s="37"/>
      <c r="I23" s="37"/>
      <c r="J23" s="37"/>
      <c r="K23" s="22"/>
    </row>
    <row r="24" spans="1:1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</row>
    <row r="25" spans="1:1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1">
      <c r="A26" s="86"/>
      <c r="B26" s="87"/>
      <c r="C26" s="87"/>
      <c r="D26" s="87"/>
      <c r="E26" s="87"/>
      <c r="F26" s="87"/>
      <c r="G26" s="87"/>
      <c r="H26" s="87"/>
      <c r="I26" s="87"/>
      <c r="J26" s="87"/>
      <c r="K26" s="88"/>
    </row>
    <row r="27" spans="1:11">
      <c r="A27" s="37"/>
      <c r="B27" s="37"/>
      <c r="C27" s="37"/>
      <c r="D27" s="37"/>
      <c r="E27" s="37"/>
      <c r="F27" s="68"/>
      <c r="G27" s="76"/>
      <c r="H27" s="37"/>
      <c r="I27" s="37"/>
      <c r="J27" s="37"/>
      <c r="K27" s="37"/>
    </row>
    <row r="28" spans="1:11">
      <c r="A28" s="37"/>
      <c r="B28" s="37"/>
      <c r="C28" s="37"/>
      <c r="D28" s="37"/>
      <c r="E28" s="37"/>
      <c r="F28" s="69"/>
      <c r="G28" s="37"/>
      <c r="H28" s="37"/>
      <c r="I28" s="37"/>
      <c r="J28" s="37"/>
      <c r="K28" s="37"/>
    </row>
    <row r="29" spans="1:11">
      <c r="A29" s="37"/>
      <c r="B29" s="37"/>
      <c r="C29" s="37"/>
      <c r="D29" s="37"/>
      <c r="E29" s="37"/>
      <c r="F29" s="37"/>
      <c r="G29" s="22"/>
      <c r="H29" s="37"/>
      <c r="I29" s="37"/>
      <c r="J29" s="37"/>
      <c r="K29" s="22"/>
    </row>
    <row r="30" spans="1:11">
      <c r="A30" s="37"/>
      <c r="B30" s="37"/>
      <c r="C30" s="37"/>
      <c r="D30" s="37"/>
      <c r="E30" s="37"/>
      <c r="F30" s="37"/>
      <c r="G30" s="22"/>
      <c r="H30" s="37"/>
      <c r="I30" s="37"/>
      <c r="J30" s="37"/>
      <c r="K30" s="22"/>
    </row>
    <row r="31" spans="1:11">
      <c r="A31" s="37"/>
      <c r="B31" s="37"/>
      <c r="C31" s="37"/>
      <c r="D31" s="37"/>
      <c r="E31" s="37"/>
      <c r="F31" s="37"/>
      <c r="G31" s="22"/>
      <c r="H31" s="37"/>
      <c r="I31" s="37"/>
      <c r="J31" s="37"/>
      <c r="K31" s="22"/>
    </row>
    <row r="32" spans="1:11">
      <c r="A32" s="37"/>
      <c r="B32" s="37"/>
      <c r="C32" s="37"/>
      <c r="D32" s="37"/>
      <c r="E32" s="37"/>
      <c r="F32" s="37"/>
      <c r="G32" s="22"/>
      <c r="H32" s="37"/>
      <c r="I32" s="37"/>
      <c r="J32" s="37"/>
      <c r="K32" s="22"/>
    </row>
  </sheetData>
  <mergeCells count="3">
    <mergeCell ref="A10:K10"/>
    <mergeCell ref="A1:K1"/>
    <mergeCell ref="A26:K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J42"/>
  <sheetViews>
    <sheetView zoomScale="96" zoomScaleNormal="96" workbookViewId="0">
      <selection activeCell="G39" sqref="G39"/>
    </sheetView>
  </sheetViews>
  <sheetFormatPr defaultRowHeight="14.5"/>
  <cols>
    <col min="2" max="2" width="12.453125" bestFit="1" customWidth="1"/>
  </cols>
  <sheetData>
    <row r="10" spans="2:10">
      <c r="B10" s="5" t="s">
        <v>48</v>
      </c>
      <c r="C10" s="7" t="s">
        <v>49</v>
      </c>
      <c r="D10" s="5" t="s">
        <v>34</v>
      </c>
      <c r="E10" s="5" t="s">
        <v>35</v>
      </c>
      <c r="G10" s="5"/>
      <c r="H10" s="7"/>
      <c r="I10" s="5"/>
      <c r="J10" s="5"/>
    </row>
    <row r="11" spans="2:10">
      <c r="B11" s="6"/>
      <c r="C11" s="8" t="s">
        <v>50</v>
      </c>
      <c r="D11" s="6" t="s">
        <v>41</v>
      </c>
      <c r="E11" s="6" t="s">
        <v>42</v>
      </c>
      <c r="G11" s="6"/>
      <c r="H11" s="8"/>
      <c r="I11" s="6"/>
      <c r="J11" s="6"/>
    </row>
    <row r="13" spans="2:10">
      <c r="B13" s="1">
        <f>'ID (X) (30")'!D36</f>
        <v>3.0395136778115506E-6</v>
      </c>
      <c r="C13" s="3">
        <v>0.4</v>
      </c>
      <c r="D13" s="4">
        <f>'ID (X) (30")'!T36</f>
        <v>4665.6000000000013</v>
      </c>
      <c r="E13" s="4">
        <f>'ID (X) (30")'!U36</f>
        <v>1.0913936421275138E-12</v>
      </c>
      <c r="H13" s="3"/>
      <c r="I13" s="4"/>
      <c r="J13" s="4"/>
    </row>
    <row r="14" spans="2:10">
      <c r="C14" s="3">
        <v>0.6</v>
      </c>
      <c r="D14" s="4">
        <f>'ID (X) (30")'!T87</f>
        <v>6997.8891329999997</v>
      </c>
      <c r="E14" s="4">
        <f>'ID (X) (30")'!U87</f>
        <v>-1.8724630766617336</v>
      </c>
      <c r="H14" s="3"/>
      <c r="I14" s="4"/>
      <c r="J14" s="4"/>
    </row>
    <row r="15" spans="2:10">
      <c r="C15" s="3">
        <v>0.8</v>
      </c>
      <c r="D15" s="4">
        <f>'ID (X) (30")'!T138</f>
        <v>9330.6891330000017</v>
      </c>
      <c r="E15" s="4">
        <f>'ID (X) (30")'!U138</f>
        <v>-1.8724630766606425</v>
      </c>
      <c r="H15" s="3"/>
    </row>
    <row r="16" spans="2:10">
      <c r="C16" s="3">
        <v>1</v>
      </c>
      <c r="D16" s="4">
        <f>'ID (X) (30")'!T188</f>
        <v>11663.489133000001</v>
      </c>
      <c r="E16" s="4">
        <f>'ID (X) (30")'!U188</f>
        <v>-1.8724630766606425</v>
      </c>
      <c r="H16" s="3"/>
    </row>
    <row r="17" spans="2:8">
      <c r="C17" s="3">
        <v>1.2</v>
      </c>
      <c r="D17" s="4">
        <f>'ID (X) (30")'!T239</f>
        <v>13996.289132999998</v>
      </c>
      <c r="E17" s="4">
        <f>'ID (X) (30")'!U239</f>
        <v>-1.8724630766606425</v>
      </c>
      <c r="H17" s="3"/>
    </row>
    <row r="18" spans="2:8">
      <c r="C18" s="3"/>
      <c r="D18" s="4"/>
      <c r="E18" s="4"/>
      <c r="H18" s="3"/>
    </row>
    <row r="19" spans="2:8">
      <c r="C19" s="3"/>
      <c r="D19" s="4"/>
      <c r="E19" s="4"/>
      <c r="H19" s="3"/>
    </row>
    <row r="20" spans="2:8">
      <c r="C20" s="3"/>
      <c r="D20" s="4"/>
      <c r="E20" s="4"/>
      <c r="H20" s="3"/>
    </row>
    <row r="21" spans="2:8">
      <c r="C21" s="3"/>
      <c r="D21" s="4"/>
      <c r="E21" s="4"/>
    </row>
    <row r="23" spans="2:8">
      <c r="B23" s="1">
        <f>'ID (X) (30")'!D42</f>
        <v>9.1185410334346503E-2</v>
      </c>
      <c r="C23" s="3">
        <v>0.4</v>
      </c>
      <c r="D23" s="4">
        <f>'ID (X) (30")'!T42</f>
        <v>-12485.502000000002</v>
      </c>
      <c r="E23" s="4">
        <f>'ID (X) (30")'!U42</f>
        <v>-54834.934275000007</v>
      </c>
    </row>
    <row r="24" spans="2:8">
      <c r="C24" s="3">
        <v>0.6</v>
      </c>
      <c r="D24" s="4">
        <f>'ID (X) (30")'!T93</f>
        <v>-11065.248000000001</v>
      </c>
      <c r="E24" s="4">
        <f>'ID (X) (30")'!U93</f>
        <v>-57038.986350000006</v>
      </c>
    </row>
    <row r="25" spans="2:8">
      <c r="C25" s="3">
        <v>0.8</v>
      </c>
      <c r="D25" s="4">
        <f>'ID (X) (30")'!T144</f>
        <v>-9644.9940000000024</v>
      </c>
      <c r="E25" s="4">
        <f>'ID (X) (30")'!U144</f>
        <v>-59243.038425000013</v>
      </c>
    </row>
    <row r="26" spans="2:8">
      <c r="C26" s="3">
        <v>1</v>
      </c>
      <c r="D26" s="4">
        <f>'ID (X) (30")'!T194</f>
        <v>-8224.7400000000016</v>
      </c>
      <c r="E26" s="4">
        <f>'ID (X) (30")'!U194</f>
        <v>-61447.090500000013</v>
      </c>
    </row>
    <row r="27" spans="2:8">
      <c r="C27" s="3">
        <v>1.2</v>
      </c>
      <c r="D27" s="4">
        <f>'ID (X) (30")'!T245</f>
        <v>-6804.4860000000026</v>
      </c>
      <c r="E27" s="4">
        <f>'ID (X) (30")'!U245</f>
        <v>-63651.142575000005</v>
      </c>
    </row>
    <row r="28" spans="2:8">
      <c r="C28" s="3"/>
      <c r="D28" s="4"/>
      <c r="E28" s="4"/>
    </row>
    <row r="30" spans="2:8">
      <c r="B30" s="1">
        <f>'ID (X) (30")'!D48</f>
        <v>0.18237082066869301</v>
      </c>
      <c r="C30" s="3">
        <v>0.4</v>
      </c>
      <c r="D30" s="4">
        <f>'ID (X) (30")'!T48</f>
        <v>-29952.556650000006</v>
      </c>
      <c r="E30" s="4">
        <f>'ID (X) (30")'!U48</f>
        <v>-97711.751992500023</v>
      </c>
    </row>
    <row r="31" spans="2:8">
      <c r="C31" s="3">
        <v>0.6</v>
      </c>
      <c r="D31" s="4">
        <f>'ID (X) (30")'!T99</f>
        <v>-29602.824975000003</v>
      </c>
      <c r="E31" s="4">
        <f>'ID (X) (30")'!U99</f>
        <v>-101888.05161375001</v>
      </c>
    </row>
    <row r="32" spans="2:8">
      <c r="C32" s="3">
        <v>0.8</v>
      </c>
      <c r="D32" s="4">
        <f>'ID (X) (30")'!T150</f>
        <v>-29253.0933</v>
      </c>
      <c r="E32" s="4">
        <f>'ID (X) (30")'!U150</f>
        <v>-106064.35123500001</v>
      </c>
    </row>
    <row r="33" spans="2:5">
      <c r="C33" s="3">
        <v>1</v>
      </c>
      <c r="D33" s="4">
        <f>'ID (X) (30")'!T200</f>
        <v>-28903.361625000001</v>
      </c>
      <c r="E33" s="4">
        <f>'ID (X) (30")'!U200</f>
        <v>-110240.65085625002</v>
      </c>
    </row>
    <row r="34" spans="2:5">
      <c r="C34" s="3">
        <v>1.2</v>
      </c>
      <c r="D34" s="4">
        <f>'ID (X) (30")'!T251</f>
        <v>-28553.629950000002</v>
      </c>
      <c r="E34" s="4">
        <f>'ID (X) (30")'!U251</f>
        <v>-114416.95047750001</v>
      </c>
    </row>
    <row r="35" spans="2:5">
      <c r="C35" s="3"/>
      <c r="D35" s="4"/>
      <c r="E35" s="4"/>
    </row>
    <row r="37" spans="2:5">
      <c r="B37" s="1">
        <f>'ID (X) (30")'!D54</f>
        <v>0.27355623100303955</v>
      </c>
      <c r="C37" s="3">
        <v>0.4</v>
      </c>
      <c r="D37" s="4">
        <f>'ID (X) (30")'!T54</f>
        <v>-46355.309100000013</v>
      </c>
      <c r="E37">
        <v>54</v>
      </c>
    </row>
    <row r="38" spans="2:5">
      <c r="C38" s="3">
        <v>0.6</v>
      </c>
      <c r="D38" s="4">
        <f>'ID (X) (30")'!T105</f>
        <v>-46543.948650000006</v>
      </c>
      <c r="E38">
        <v>104</v>
      </c>
    </row>
    <row r="39" spans="2:5">
      <c r="C39" s="3">
        <v>0.8</v>
      </c>
      <c r="D39" s="4">
        <f>'ID (X) (30")'!T156</f>
        <v>-46732.588200000013</v>
      </c>
      <c r="E39">
        <v>154</v>
      </c>
    </row>
    <row r="40" spans="2:5">
      <c r="C40" s="3">
        <v>1</v>
      </c>
      <c r="D40" s="4">
        <f>'ID (X) (30")'!T206</f>
        <v>-46921.227750000013</v>
      </c>
      <c r="E40">
        <v>204</v>
      </c>
    </row>
    <row r="41" spans="2:5">
      <c r="C41" s="3">
        <v>1.2</v>
      </c>
      <c r="D41" s="4">
        <f>'ID (X) (30")'!T257</f>
        <v>-47109.867300000013</v>
      </c>
      <c r="E41">
        <v>254</v>
      </c>
    </row>
    <row r="42" spans="2:5">
      <c r="C42" s="3"/>
      <c r="D4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E51"/>
  <sheetViews>
    <sheetView topLeftCell="A30" zoomScaleNormal="100" workbookViewId="0">
      <selection activeCell="G46" sqref="G46"/>
    </sheetView>
  </sheetViews>
  <sheetFormatPr defaultRowHeight="14.5"/>
  <cols>
    <col min="2" max="2" width="12.453125" bestFit="1" customWidth="1"/>
  </cols>
  <sheetData>
    <row r="10" spans="2:5">
      <c r="B10" s="5" t="s">
        <v>48</v>
      </c>
      <c r="C10" s="7" t="s">
        <v>49</v>
      </c>
      <c r="D10" s="5" t="s">
        <v>34</v>
      </c>
      <c r="E10" s="5" t="s">
        <v>35</v>
      </c>
    </row>
    <row r="11" spans="2:5">
      <c r="B11" s="6"/>
      <c r="C11" s="8" t="s">
        <v>50</v>
      </c>
      <c r="D11" s="6" t="s">
        <v>41</v>
      </c>
      <c r="E11" s="6" t="s">
        <v>42</v>
      </c>
    </row>
    <row r="13" spans="2:5">
      <c r="B13" s="2">
        <f>'ID (X) (30")'!D60</f>
        <v>5.6231003039513686E-2</v>
      </c>
      <c r="C13" s="3">
        <v>0.4</v>
      </c>
      <c r="D13" s="4">
        <f>'ID (X) (30")'!T60</f>
        <v>2882.3850000000007</v>
      </c>
      <c r="E13" s="4">
        <f>'ID (X) (30")'!U60</f>
        <v>14004.429468750006</v>
      </c>
    </row>
    <row r="14" spans="2:5">
      <c r="C14" s="3">
        <v>0.6</v>
      </c>
      <c r="D14" s="4">
        <f>'ID (X) (30")'!T111</f>
        <v>5215.1849999999986</v>
      </c>
      <c r="E14" s="4">
        <f>'ID (X) (30")'!U111</f>
        <v>14004.429468750001</v>
      </c>
    </row>
    <row r="15" spans="2:5">
      <c r="C15" s="3">
        <v>0.8</v>
      </c>
      <c r="D15" s="4">
        <f>'ID (X) (30")'!T162</f>
        <v>7547.9850000000015</v>
      </c>
      <c r="E15" s="4">
        <f>'ID (X) (30")'!U162</f>
        <v>14004.429468750002</v>
      </c>
    </row>
    <row r="16" spans="2:5">
      <c r="C16" s="3">
        <v>1</v>
      </c>
      <c r="D16" s="4">
        <f>'ID (X) (30")'!T212</f>
        <v>9880.7849999999999</v>
      </c>
      <c r="E16" s="4">
        <f>'ID (X) (30")'!U212</f>
        <v>14004.429468749999</v>
      </c>
    </row>
    <row r="17" spans="2:5">
      <c r="C17" s="3">
        <v>1.2</v>
      </c>
      <c r="D17" s="4">
        <f>'ID (X) (30")'!T263</f>
        <v>12213.584999999999</v>
      </c>
      <c r="E17" s="4">
        <f>'ID (X) (30")'!U263</f>
        <v>14004.429468750002</v>
      </c>
    </row>
    <row r="18" spans="2:5">
      <c r="C18" s="3"/>
      <c r="D18" s="4"/>
      <c r="E18" s="4"/>
    </row>
    <row r="19" spans="2:5">
      <c r="C19" s="3"/>
      <c r="D19" s="4"/>
      <c r="E19" s="4"/>
    </row>
    <row r="20" spans="2:5">
      <c r="C20" s="3"/>
      <c r="D20" s="4"/>
      <c r="E20" s="4"/>
    </row>
    <row r="24" spans="2:5">
      <c r="B24" s="2">
        <f>'ID (X) (30")'!D61</f>
        <v>0.11234954407294835</v>
      </c>
      <c r="C24" s="3">
        <v>0.4</v>
      </c>
      <c r="D24" s="4">
        <f>'ID (X) (30")'!T$61</f>
        <v>1102.7364299999999</v>
      </c>
      <c r="E24" s="4">
        <f>'ID (X) (30")'!U$61</f>
        <v>27158.585702401131</v>
      </c>
    </row>
    <row r="25" spans="2:5">
      <c r="C25" s="3">
        <v>0.6</v>
      </c>
      <c r="D25" s="4">
        <f>'ID (X) (30")'!T$112</f>
        <v>3435.5364299999983</v>
      </c>
      <c r="E25" s="4">
        <f>'ID (X) (30")'!U$112</f>
        <v>27158.585702401131</v>
      </c>
    </row>
    <row r="26" spans="2:5">
      <c r="C26" s="3">
        <v>0.8</v>
      </c>
      <c r="D26" s="4">
        <f>'ID (X) (30")'!T$163</f>
        <v>5768.3364300000012</v>
      </c>
      <c r="E26" s="4">
        <f>'ID (X) (30")'!U$163</f>
        <v>27158.585702401138</v>
      </c>
    </row>
    <row r="27" spans="2:5">
      <c r="C27" s="3">
        <v>1</v>
      </c>
      <c r="D27" s="4">
        <f>'ID (X) (30")'!T$213</f>
        <v>8101.1364299999996</v>
      </c>
      <c r="E27" s="4">
        <f>'ID (X) (30")'!U$213</f>
        <v>27158.585702401131</v>
      </c>
    </row>
    <row r="28" spans="2:5">
      <c r="C28" s="3">
        <v>1.2</v>
      </c>
      <c r="D28" s="4">
        <f>'ID (X) (30")'!T$264</f>
        <v>10433.936429999998</v>
      </c>
      <c r="E28" s="4">
        <f>'ID (X) (30")'!U$264</f>
        <v>27158.585702401138</v>
      </c>
    </row>
    <row r="29" spans="2:5">
      <c r="C29" s="3"/>
      <c r="D29" s="4"/>
      <c r="E29" s="4"/>
    </row>
    <row r="30" spans="2:5">
      <c r="C30" s="3"/>
      <c r="D30" s="4"/>
      <c r="E30" s="4"/>
    </row>
    <row r="31" spans="2:5">
      <c r="C31" s="3"/>
      <c r="D31" s="4"/>
      <c r="E31" s="4"/>
    </row>
    <row r="34" spans="2:5">
      <c r="B34" s="2">
        <f>'ID (X) (30")'!D62</f>
        <v>0.16846808510638298</v>
      </c>
      <c r="C34" s="3">
        <v>0.4</v>
      </c>
      <c r="D34" s="4">
        <f>'ID (X) (30")'!T$62</f>
        <v>-1253.9837196918395</v>
      </c>
      <c r="E34" s="4">
        <f>'ID (X) (30")'!U$62</f>
        <v>42461.616306157222</v>
      </c>
    </row>
    <row r="35" spans="2:5">
      <c r="C35" s="3">
        <v>0.6</v>
      </c>
      <c r="D35" s="4">
        <f>'ID (X) (30")'!T$113</f>
        <v>790.2804904622393</v>
      </c>
      <c r="E35" s="4">
        <f>'ID (X) (30")'!U$113</f>
        <v>43946.774135558582</v>
      </c>
    </row>
    <row r="36" spans="2:5">
      <c r="C36" s="3">
        <v>0.8</v>
      </c>
      <c r="D36" s="4">
        <f>'ID (X) (30")'!T$164</f>
        <v>2834.5447006163204</v>
      </c>
      <c r="E36" s="4">
        <f>'ID (X) (30")'!U$164</f>
        <v>45431.931964959935</v>
      </c>
    </row>
    <row r="37" spans="2:5">
      <c r="C37" s="3">
        <v>1</v>
      </c>
      <c r="D37" s="4">
        <f>'ID (X) (30")'!T$214</f>
        <v>4878.8089107703991</v>
      </c>
      <c r="E37" s="4">
        <f>'ID (X) (30")'!U$214</f>
        <v>46917.089794361309</v>
      </c>
    </row>
    <row r="38" spans="2:5">
      <c r="C38" s="3">
        <v>1.2</v>
      </c>
      <c r="D38" s="4">
        <f>'ID (X) (30")'!T$265</f>
        <v>6923.0731209244777</v>
      </c>
      <c r="E38" s="4">
        <f>'ID (X) (30")'!U$265</f>
        <v>48402.247623762669</v>
      </c>
    </row>
    <row r="39" spans="2:5">
      <c r="C39" s="3"/>
      <c r="D39" s="4"/>
      <c r="E39" s="4"/>
    </row>
    <row r="40" spans="2:5">
      <c r="C40" s="3"/>
      <c r="D40" s="4"/>
      <c r="E40" s="4"/>
    </row>
    <row r="41" spans="2:5">
      <c r="C41" s="3"/>
      <c r="D41" s="4"/>
      <c r="E41" s="4"/>
    </row>
    <row r="42" spans="2:5">
      <c r="C42" s="3"/>
      <c r="D42" s="4"/>
      <c r="E42" s="4"/>
    </row>
    <row r="44" spans="2:5">
      <c r="B44" s="2">
        <f>'ID (X) (30")'!D63</f>
        <v>0.22458662613981764</v>
      </c>
      <c r="C44" s="3">
        <v>0.4</v>
      </c>
      <c r="D44" s="4">
        <f>'ID (X) (30")'!T$63</f>
        <v>-3524.887275036745</v>
      </c>
      <c r="E44" s="4">
        <f>'ID (X) (30")'!U$62</f>
        <v>42461.616306157222</v>
      </c>
    </row>
    <row r="45" spans="2:5">
      <c r="C45" s="3">
        <v>0.6</v>
      </c>
      <c r="D45" s="4">
        <f>'ID (X) (30")'!T$114</f>
        <v>-1726.250557555119</v>
      </c>
      <c r="E45" s="4">
        <f>'ID (X) (30")'!U$113</f>
        <v>43946.774135558582</v>
      </c>
    </row>
    <row r="46" spans="2:5">
      <c r="C46" s="3">
        <v>0.8</v>
      </c>
      <c r="D46" s="4">
        <f>'ID (X) (30")'!T$165</f>
        <v>72.386159926510942</v>
      </c>
      <c r="E46" s="4">
        <f>'ID (X) (30")'!U$164</f>
        <v>45431.931964959935</v>
      </c>
    </row>
    <row r="47" spans="2:5">
      <c r="C47" s="3">
        <v>1</v>
      </c>
      <c r="D47" s="4">
        <f>'ID (X) (30")'!T$215</f>
        <v>1871.0228774081377</v>
      </c>
      <c r="E47" s="4">
        <f>'ID (X) (30")'!U$214</f>
        <v>46917.089794361309</v>
      </c>
    </row>
    <row r="48" spans="2:5">
      <c r="C48" s="3">
        <v>1.2</v>
      </c>
      <c r="D48" s="4">
        <f>'ID (X) (30")'!T$266</f>
        <v>3669.6595948897634</v>
      </c>
      <c r="E48" s="4">
        <f>'ID (X) (30")'!U$265</f>
        <v>48402.247623762669</v>
      </c>
    </row>
    <row r="49" spans="3:5">
      <c r="C49" s="3"/>
      <c r="D49" s="4"/>
      <c r="E49" s="4"/>
    </row>
    <row r="50" spans="3:5">
      <c r="C50" s="3"/>
      <c r="D50" s="4"/>
      <c r="E50" s="4"/>
    </row>
    <row r="51" spans="3:5">
      <c r="C51" s="3"/>
      <c r="D51" s="4"/>
      <c r="E51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7C5B-17B2-4285-BE26-ECA0055E9A58}">
  <dimension ref="A1:I57"/>
  <sheetViews>
    <sheetView view="pageLayout" zoomScale="115" zoomScaleNormal="100" zoomScalePageLayoutView="115" workbookViewId="0">
      <selection activeCell="D65" sqref="D65"/>
    </sheetView>
  </sheetViews>
  <sheetFormatPr defaultRowHeight="14.5"/>
  <cols>
    <col min="7" max="7" width="12" customWidth="1"/>
    <col min="9" max="9" width="12" bestFit="1" customWidth="1"/>
  </cols>
  <sheetData>
    <row r="1" spans="1:9" ht="15" thickBot="1">
      <c r="A1" s="51" t="s">
        <v>87</v>
      </c>
      <c r="B1" s="98" t="s">
        <v>88</v>
      </c>
      <c r="C1" s="99"/>
      <c r="D1" s="99"/>
      <c r="E1" s="99"/>
      <c r="F1" s="100"/>
      <c r="G1" s="49" t="s">
        <v>89</v>
      </c>
      <c r="H1" s="51" t="s">
        <v>90</v>
      </c>
      <c r="I1" s="50" t="s">
        <v>91</v>
      </c>
    </row>
    <row r="2" spans="1:9">
      <c r="A2" s="58"/>
      <c r="B2" s="101"/>
      <c r="C2" s="102"/>
      <c r="D2" s="102"/>
      <c r="E2" s="102"/>
      <c r="F2" s="102"/>
      <c r="G2" s="58"/>
      <c r="H2" s="58"/>
      <c r="I2" s="59"/>
    </row>
    <row r="3" spans="1:9">
      <c r="A3" s="52">
        <v>1</v>
      </c>
      <c r="B3" s="95" t="s">
        <v>92</v>
      </c>
      <c r="C3" s="96"/>
      <c r="D3" s="96"/>
      <c r="E3" s="96"/>
      <c r="F3" s="96"/>
      <c r="G3" s="52"/>
      <c r="H3" s="52"/>
      <c r="I3" s="56"/>
    </row>
    <row r="4" spans="1:9">
      <c r="A4" s="52"/>
      <c r="B4" s="95"/>
      <c r="C4" s="96"/>
      <c r="D4" s="96"/>
      <c r="E4" s="96"/>
      <c r="F4" s="96"/>
      <c r="G4" s="52"/>
      <c r="H4" s="54"/>
      <c r="I4" s="56"/>
    </row>
    <row r="5" spans="1:9">
      <c r="A5" s="52">
        <v>1.1000000000000001</v>
      </c>
      <c r="B5" s="95" t="s">
        <v>93</v>
      </c>
      <c r="C5" s="96"/>
      <c r="D5" s="96"/>
      <c r="E5" s="96"/>
      <c r="F5" s="96"/>
      <c r="G5" s="70"/>
      <c r="H5" s="52"/>
      <c r="I5" s="56"/>
    </row>
    <row r="6" spans="1:9">
      <c r="A6" s="52"/>
      <c r="B6" s="95" t="s">
        <v>141</v>
      </c>
      <c r="C6" s="96"/>
      <c r="D6" s="96"/>
      <c r="E6" s="96"/>
      <c r="F6" s="96"/>
      <c r="G6" s="52" t="s">
        <v>135</v>
      </c>
      <c r="H6" s="54" t="s">
        <v>132</v>
      </c>
      <c r="I6" s="56">
        <v>141</v>
      </c>
    </row>
    <row r="7" spans="1:9">
      <c r="A7" s="52"/>
      <c r="B7" s="95" t="s">
        <v>142</v>
      </c>
      <c r="C7" s="96"/>
      <c r="D7" s="96"/>
      <c r="E7" s="96"/>
      <c r="F7" s="96"/>
      <c r="G7" s="52" t="s">
        <v>136</v>
      </c>
      <c r="H7" s="65" t="s">
        <v>132</v>
      </c>
      <c r="I7" s="56">
        <v>30</v>
      </c>
    </row>
    <row r="8" spans="1:9">
      <c r="A8" s="52"/>
      <c r="B8" s="95" t="s">
        <v>143</v>
      </c>
      <c r="C8" s="96"/>
      <c r="D8" s="96"/>
      <c r="E8" s="96"/>
      <c r="F8" s="96"/>
      <c r="G8" s="52" t="s">
        <v>144</v>
      </c>
      <c r="H8" s="65" t="s">
        <v>94</v>
      </c>
      <c r="I8" s="56">
        <f>I6*I7</f>
        <v>4230</v>
      </c>
    </row>
    <row r="9" spans="1:9">
      <c r="A9" s="52"/>
      <c r="B9" s="95" t="s">
        <v>95</v>
      </c>
      <c r="C9" s="96"/>
      <c r="D9" s="96"/>
      <c r="E9" s="96"/>
      <c r="F9" s="96"/>
      <c r="G9" s="52" t="s">
        <v>96</v>
      </c>
      <c r="H9" s="60" t="s">
        <v>83</v>
      </c>
      <c r="I9" s="56">
        <v>2</v>
      </c>
    </row>
    <row r="10" spans="1:9">
      <c r="A10" s="52"/>
      <c r="B10" s="95" t="s">
        <v>97</v>
      </c>
      <c r="C10" s="96"/>
      <c r="D10" s="96"/>
      <c r="E10" s="96"/>
      <c r="F10" s="96"/>
      <c r="G10" s="52" t="s">
        <v>98</v>
      </c>
      <c r="H10" s="52" t="s">
        <v>50</v>
      </c>
      <c r="I10" s="56">
        <v>1.2</v>
      </c>
    </row>
    <row r="11" spans="1:9">
      <c r="A11" s="52"/>
      <c r="B11" s="95" t="s">
        <v>130</v>
      </c>
      <c r="C11" s="96"/>
      <c r="D11" s="96"/>
      <c r="E11" s="96"/>
      <c r="F11" s="96"/>
      <c r="G11" s="52" t="s">
        <v>131</v>
      </c>
      <c r="H11" s="60" t="s">
        <v>83</v>
      </c>
      <c r="I11" s="56" t="s">
        <v>120</v>
      </c>
    </row>
    <row r="12" spans="1:9">
      <c r="A12" s="52"/>
      <c r="B12" s="95" t="s">
        <v>176</v>
      </c>
      <c r="C12" s="96"/>
      <c r="D12" s="96"/>
      <c r="E12" s="96"/>
      <c r="F12" s="97"/>
      <c r="G12" s="52" t="s">
        <v>131</v>
      </c>
      <c r="H12" s="60" t="s">
        <v>83</v>
      </c>
      <c r="I12" s="77">
        <v>2</v>
      </c>
    </row>
    <row r="13" spans="1:9">
      <c r="A13" s="52"/>
      <c r="B13" s="95" t="s">
        <v>99</v>
      </c>
      <c r="C13" s="96"/>
      <c r="D13" s="96"/>
      <c r="E13" s="96"/>
      <c r="F13" s="96"/>
      <c r="G13" s="52" t="s">
        <v>100</v>
      </c>
      <c r="H13" s="52" t="s">
        <v>132</v>
      </c>
      <c r="I13" s="56">
        <f>VLOOKUP(I11,Working!A2:H12,5,FALSE)</f>
        <v>1</v>
      </c>
    </row>
    <row r="14" spans="1:9">
      <c r="A14" s="52"/>
      <c r="B14" s="95" t="s">
        <v>133</v>
      </c>
      <c r="C14" s="96"/>
      <c r="D14" s="96"/>
      <c r="E14" s="96"/>
      <c r="F14" s="96"/>
      <c r="G14" s="52" t="s">
        <v>134</v>
      </c>
      <c r="H14" s="52" t="s">
        <v>94</v>
      </c>
      <c r="I14" s="56">
        <f>VLOOKUP(I11,Working!A2:H12,7,FALSE)*I12</f>
        <v>1.58</v>
      </c>
    </row>
    <row r="15" spans="1:9">
      <c r="A15" s="52"/>
      <c r="B15" s="95" t="s">
        <v>137</v>
      </c>
      <c r="C15" s="96"/>
      <c r="D15" s="96"/>
      <c r="E15" s="96"/>
      <c r="F15" s="96"/>
      <c r="G15" s="52" t="s">
        <v>65</v>
      </c>
      <c r="H15" s="52" t="s">
        <v>132</v>
      </c>
      <c r="I15" s="64">
        <f>ROUNDDOWN(I14*I9/I7/I10*100,0)</f>
        <v>8</v>
      </c>
    </row>
    <row r="16" spans="1:9">
      <c r="A16" s="66"/>
      <c r="B16" s="104" t="s">
        <v>138</v>
      </c>
      <c r="C16" s="105"/>
      <c r="D16" s="105"/>
      <c r="E16" s="105"/>
      <c r="F16" s="105"/>
      <c r="G16" s="52" t="s">
        <v>139</v>
      </c>
      <c r="H16" s="52" t="s">
        <v>140</v>
      </c>
      <c r="I16" s="56" t="str">
        <f>IF(I15&lt;18,"OK","Revise")</f>
        <v>OK</v>
      </c>
    </row>
    <row r="17" spans="1:9">
      <c r="A17" s="52"/>
      <c r="B17" s="95"/>
      <c r="C17" s="96"/>
      <c r="D17" s="96"/>
      <c r="E17" s="96"/>
      <c r="F17" s="96"/>
      <c r="G17" s="52"/>
      <c r="H17" s="52"/>
      <c r="I17" s="56"/>
    </row>
    <row r="18" spans="1:9">
      <c r="A18" s="52">
        <v>1.2</v>
      </c>
      <c r="B18" s="95" t="s">
        <v>145</v>
      </c>
      <c r="C18" s="96"/>
      <c r="D18" s="96"/>
      <c r="E18" s="96"/>
      <c r="F18" s="96"/>
      <c r="G18" s="70"/>
      <c r="H18" s="52"/>
      <c r="I18" s="56"/>
    </row>
    <row r="19" spans="1:9">
      <c r="A19" s="52"/>
      <c r="B19" s="95" t="s">
        <v>141</v>
      </c>
      <c r="C19" s="96"/>
      <c r="D19" s="96"/>
      <c r="E19" s="96"/>
      <c r="F19" s="96"/>
      <c r="G19" s="52" t="s">
        <v>135</v>
      </c>
      <c r="H19" s="54" t="s">
        <v>132</v>
      </c>
      <c r="I19" s="56">
        <v>318</v>
      </c>
    </row>
    <row r="20" spans="1:9">
      <c r="A20" s="52"/>
      <c r="B20" s="95" t="s">
        <v>142</v>
      </c>
      <c r="C20" s="96"/>
      <c r="D20" s="96"/>
      <c r="E20" s="96"/>
      <c r="F20" s="96"/>
      <c r="G20" s="52" t="s">
        <v>136</v>
      </c>
      <c r="H20" s="65" t="s">
        <v>132</v>
      </c>
      <c r="I20" s="56">
        <v>30</v>
      </c>
    </row>
    <row r="21" spans="1:9">
      <c r="A21" s="52"/>
      <c r="B21" s="95" t="s">
        <v>143</v>
      </c>
      <c r="C21" s="96"/>
      <c r="D21" s="96"/>
      <c r="E21" s="96"/>
      <c r="F21" s="96"/>
      <c r="G21" s="52" t="s">
        <v>144</v>
      </c>
      <c r="H21" s="65" t="s">
        <v>94</v>
      </c>
      <c r="I21" s="56">
        <f>I19*I20</f>
        <v>9540</v>
      </c>
    </row>
    <row r="22" spans="1:9">
      <c r="A22" s="52"/>
      <c r="B22" s="95" t="s">
        <v>95</v>
      </c>
      <c r="C22" s="96"/>
      <c r="D22" s="96"/>
      <c r="E22" s="96"/>
      <c r="F22" s="96"/>
      <c r="G22" s="52" t="s">
        <v>96</v>
      </c>
      <c r="H22" s="60" t="s">
        <v>83</v>
      </c>
      <c r="I22" s="56">
        <v>2</v>
      </c>
    </row>
    <row r="23" spans="1:9">
      <c r="A23" s="52"/>
      <c r="B23" s="95" t="s">
        <v>97</v>
      </c>
      <c r="C23" s="96"/>
      <c r="D23" s="96"/>
      <c r="E23" s="96"/>
      <c r="F23" s="96"/>
      <c r="G23" s="52" t="s">
        <v>98</v>
      </c>
      <c r="H23" s="52" t="s">
        <v>50</v>
      </c>
      <c r="I23" s="56">
        <v>1.2</v>
      </c>
    </row>
    <row r="24" spans="1:9">
      <c r="A24" s="52"/>
      <c r="B24" s="95" t="s">
        <v>130</v>
      </c>
      <c r="C24" s="96"/>
      <c r="D24" s="96"/>
      <c r="E24" s="96"/>
      <c r="F24" s="96"/>
      <c r="G24" s="52" t="s">
        <v>131</v>
      </c>
      <c r="H24" s="60" t="s">
        <v>83</v>
      </c>
      <c r="I24" s="56" t="s">
        <v>120</v>
      </c>
    </row>
    <row r="25" spans="1:9">
      <c r="A25" s="52"/>
      <c r="B25" s="95" t="s">
        <v>176</v>
      </c>
      <c r="C25" s="96"/>
      <c r="D25" s="96"/>
      <c r="E25" s="96"/>
      <c r="F25" s="97"/>
      <c r="G25" s="52" t="s">
        <v>131</v>
      </c>
      <c r="H25" s="60" t="s">
        <v>83</v>
      </c>
      <c r="I25" s="77">
        <v>2</v>
      </c>
    </row>
    <row r="26" spans="1:9">
      <c r="A26" s="52"/>
      <c r="B26" s="95" t="s">
        <v>99</v>
      </c>
      <c r="C26" s="96"/>
      <c r="D26" s="96"/>
      <c r="E26" s="96"/>
      <c r="F26" s="96"/>
      <c r="G26" s="52" t="s">
        <v>100</v>
      </c>
      <c r="H26" s="52" t="s">
        <v>132</v>
      </c>
      <c r="I26" s="56">
        <f>VLOOKUP(I24,Working!A2:H12,5,FALSE)</f>
        <v>1</v>
      </c>
    </row>
    <row r="27" spans="1:9">
      <c r="A27" s="52"/>
      <c r="B27" s="95" t="s">
        <v>133</v>
      </c>
      <c r="C27" s="96"/>
      <c r="D27" s="96"/>
      <c r="E27" s="96"/>
      <c r="F27" s="96"/>
      <c r="G27" s="52" t="s">
        <v>134</v>
      </c>
      <c r="H27" s="52" t="s">
        <v>94</v>
      </c>
      <c r="I27" s="56">
        <f>VLOOKUP(I24,Working!A2:H12,7,FALSE)*I25</f>
        <v>1.58</v>
      </c>
    </row>
    <row r="28" spans="1:9">
      <c r="A28" s="52"/>
      <c r="B28" s="95" t="s">
        <v>137</v>
      </c>
      <c r="C28" s="96"/>
      <c r="D28" s="96"/>
      <c r="E28" s="96"/>
      <c r="F28" s="96"/>
      <c r="G28" s="52" t="s">
        <v>65</v>
      </c>
      <c r="H28" s="52" t="s">
        <v>132</v>
      </c>
      <c r="I28" s="64">
        <f>ROUNDDOWN(I27*I22/I20/I23*100,0)</f>
        <v>8</v>
      </c>
    </row>
    <row r="29" spans="1:9">
      <c r="A29" s="66"/>
      <c r="B29" s="104" t="s">
        <v>138</v>
      </c>
      <c r="C29" s="105"/>
      <c r="D29" s="105"/>
      <c r="E29" s="105"/>
      <c r="F29" s="105"/>
      <c r="G29" s="52" t="s">
        <v>139</v>
      </c>
      <c r="H29" s="52" t="s">
        <v>140</v>
      </c>
      <c r="I29" s="56" t="str">
        <f>IF(I28&lt;18,"OK","Revise")</f>
        <v>OK</v>
      </c>
    </row>
    <row r="30" spans="1:9">
      <c r="A30" s="52"/>
      <c r="B30" s="95"/>
      <c r="C30" s="96"/>
      <c r="D30" s="96"/>
      <c r="E30" s="96"/>
      <c r="F30" s="96"/>
      <c r="G30" s="52"/>
      <c r="H30" s="52"/>
      <c r="I30" s="56"/>
    </row>
    <row r="31" spans="1:9">
      <c r="A31" s="52">
        <v>1.3</v>
      </c>
      <c r="B31" s="95" t="s">
        <v>174</v>
      </c>
      <c r="C31" s="96"/>
      <c r="D31" s="96"/>
      <c r="E31" s="96"/>
      <c r="F31" s="96"/>
      <c r="G31" s="52"/>
      <c r="H31" s="52"/>
      <c r="I31" s="56"/>
    </row>
    <row r="32" spans="1:9">
      <c r="A32" s="52"/>
      <c r="B32" s="95" t="s">
        <v>147</v>
      </c>
      <c r="C32" s="96"/>
      <c r="D32" s="96"/>
      <c r="E32" s="96"/>
      <c r="F32" s="96"/>
      <c r="G32" s="52" t="s">
        <v>148</v>
      </c>
      <c r="H32" s="52" t="s">
        <v>149</v>
      </c>
      <c r="I32" s="56">
        <f>MAX(ABS('BE Calcs'!E4),ABS('BE Calcs'!E5),ABS('BE Calcs'!E6),ABS('BE Calcs'!E7))/2</f>
        <v>751.5</v>
      </c>
    </row>
    <row r="33" spans="1:9">
      <c r="A33" s="52"/>
      <c r="B33" s="95" t="s">
        <v>188</v>
      </c>
      <c r="C33" s="96"/>
      <c r="D33" s="96"/>
      <c r="E33" s="96"/>
      <c r="F33" s="97"/>
      <c r="G33" s="52" t="s">
        <v>186</v>
      </c>
      <c r="H33" s="60" t="s">
        <v>83</v>
      </c>
      <c r="I33" s="77">
        <f>MAX('BE Calcs'!F20:F23)</f>
        <v>3</v>
      </c>
    </row>
    <row r="34" spans="1:9">
      <c r="A34" s="52"/>
      <c r="B34" s="95" t="s">
        <v>147</v>
      </c>
      <c r="C34" s="96"/>
      <c r="D34" s="96"/>
      <c r="E34" s="96"/>
      <c r="F34" s="97"/>
      <c r="G34" s="52" t="s">
        <v>189</v>
      </c>
      <c r="H34" s="60" t="s">
        <v>75</v>
      </c>
      <c r="I34" s="77">
        <f>I33*I32</f>
        <v>2254.5</v>
      </c>
    </row>
    <row r="35" spans="1:9">
      <c r="A35" s="52"/>
      <c r="B35" s="95" t="s">
        <v>150</v>
      </c>
      <c r="C35" s="96"/>
      <c r="D35" s="96"/>
      <c r="E35" s="96"/>
      <c r="F35" s="96"/>
      <c r="G35" s="52" t="s">
        <v>0</v>
      </c>
      <c r="H35" s="52" t="s">
        <v>13</v>
      </c>
      <c r="I35" s="56">
        <v>7</v>
      </c>
    </row>
    <row r="36" spans="1:9">
      <c r="A36" s="52"/>
      <c r="B36" s="95" t="s">
        <v>152</v>
      </c>
      <c r="C36" s="96"/>
      <c r="D36" s="96"/>
      <c r="E36" s="96"/>
      <c r="F36" s="96"/>
      <c r="G36" s="52" t="s">
        <v>151</v>
      </c>
      <c r="H36" s="60" t="s">
        <v>83</v>
      </c>
      <c r="I36" s="56">
        <v>1</v>
      </c>
    </row>
    <row r="37" spans="1:9">
      <c r="A37" s="52"/>
      <c r="B37" s="95" t="s">
        <v>153</v>
      </c>
      <c r="C37" s="96"/>
      <c r="D37" s="96"/>
      <c r="E37" s="96"/>
      <c r="F37" s="96"/>
      <c r="G37" s="52" t="s">
        <v>154</v>
      </c>
      <c r="H37" s="52" t="s">
        <v>75</v>
      </c>
      <c r="I37" s="72">
        <f>I36*I8*SQRT(I35*1000)/1000</f>
        <v>353.90719122391397</v>
      </c>
    </row>
    <row r="38" spans="1:9">
      <c r="A38" s="52"/>
      <c r="B38" s="89" t="s">
        <v>195</v>
      </c>
      <c r="C38" s="90"/>
      <c r="D38" s="90"/>
      <c r="E38" s="90"/>
      <c r="F38" s="90"/>
      <c r="G38" s="52" t="s">
        <v>140</v>
      </c>
      <c r="H38" s="60" t="s">
        <v>83</v>
      </c>
      <c r="I38" s="56" t="str">
        <f>IF(I34&gt;I37,"REQ.","MIN")</f>
        <v>REQ.</v>
      </c>
    </row>
    <row r="39" spans="1:9">
      <c r="A39" s="52"/>
      <c r="B39" s="95"/>
      <c r="C39" s="96"/>
      <c r="D39" s="96"/>
      <c r="E39" s="96"/>
      <c r="F39" s="97"/>
      <c r="G39" s="82"/>
      <c r="H39" s="52"/>
      <c r="I39" s="52"/>
    </row>
    <row r="40" spans="1:9">
      <c r="A40" s="52"/>
      <c r="B40" s="95" t="s">
        <v>156</v>
      </c>
      <c r="C40" s="96"/>
      <c r="D40" s="96"/>
      <c r="E40" s="96"/>
      <c r="F40" s="97"/>
      <c r="G40" s="73" t="s">
        <v>33</v>
      </c>
      <c r="H40" s="60" t="s">
        <v>83</v>
      </c>
      <c r="I40" s="56">
        <v>0.75</v>
      </c>
    </row>
    <row r="41" spans="1:9" ht="16.5">
      <c r="A41" s="52"/>
      <c r="B41" s="95" t="s">
        <v>191</v>
      </c>
      <c r="C41" s="96"/>
      <c r="D41" s="96"/>
      <c r="E41" s="96"/>
      <c r="F41" s="97"/>
      <c r="G41" s="73" t="s">
        <v>192</v>
      </c>
      <c r="H41" s="52" t="s">
        <v>75</v>
      </c>
      <c r="I41" s="64">
        <f>I40*I37*2</f>
        <v>530.86078683587095</v>
      </c>
    </row>
    <row r="42" spans="1:9">
      <c r="A42" s="52"/>
      <c r="B42" s="95" t="s">
        <v>193</v>
      </c>
      <c r="C42" s="96"/>
      <c r="D42" s="96"/>
      <c r="E42" s="96"/>
      <c r="F42" s="97"/>
      <c r="G42" s="73" t="s">
        <v>157</v>
      </c>
      <c r="H42" s="52" t="s">
        <v>75</v>
      </c>
      <c r="I42" s="64">
        <f>I34-I41</f>
        <v>1723.6392131641292</v>
      </c>
    </row>
    <row r="43" spans="1:9">
      <c r="A43" s="52"/>
      <c r="B43" s="95" t="s">
        <v>158</v>
      </c>
      <c r="C43" s="96"/>
      <c r="D43" s="96"/>
      <c r="E43" s="96"/>
      <c r="F43" s="97"/>
      <c r="G43" s="73" t="s">
        <v>163</v>
      </c>
      <c r="H43" s="52" t="s">
        <v>50</v>
      </c>
      <c r="I43" s="74">
        <f>I42/I40/I8/80</f>
        <v>6.7913286570690668E-3</v>
      </c>
    </row>
    <row r="44" spans="1:9">
      <c r="A44" s="52"/>
      <c r="B44" s="95" t="s">
        <v>190</v>
      </c>
      <c r="C44" s="96"/>
      <c r="D44" s="96"/>
      <c r="E44" s="96"/>
      <c r="F44" s="97"/>
      <c r="G44" s="73" t="s">
        <v>163</v>
      </c>
      <c r="H44" s="52" t="s">
        <v>50</v>
      </c>
      <c r="I44" s="74">
        <f>IF(I43&lt;0.0025,0.0025,I43)</f>
        <v>6.7913286570690668E-3</v>
      </c>
    </row>
    <row r="45" spans="1:9">
      <c r="A45" s="52"/>
      <c r="B45" s="95"/>
      <c r="C45" s="96"/>
      <c r="D45" s="96"/>
      <c r="E45" s="96"/>
      <c r="F45" s="97"/>
      <c r="G45" s="55"/>
      <c r="H45" s="52"/>
      <c r="I45" s="56"/>
    </row>
    <row r="46" spans="1:9" ht="15" thickBot="1">
      <c r="A46" s="52"/>
      <c r="B46" s="95" t="s">
        <v>198</v>
      </c>
      <c r="C46" s="96"/>
      <c r="D46" s="96"/>
      <c r="E46" s="96"/>
      <c r="F46" s="97"/>
      <c r="G46" s="55"/>
      <c r="H46" s="52"/>
      <c r="I46" s="56" t="s">
        <v>114</v>
      </c>
    </row>
    <row r="47" spans="1:9">
      <c r="A47" s="58"/>
      <c r="B47" s="101" t="s">
        <v>159</v>
      </c>
      <c r="C47" s="102"/>
      <c r="D47" s="102"/>
      <c r="E47" s="102"/>
      <c r="F47" s="103"/>
      <c r="G47" s="85" t="s">
        <v>161</v>
      </c>
      <c r="H47" s="58" t="s">
        <v>131</v>
      </c>
      <c r="I47" s="59">
        <v>4</v>
      </c>
    </row>
    <row r="48" spans="1:9">
      <c r="A48" s="52"/>
      <c r="B48" s="95" t="s">
        <v>160</v>
      </c>
      <c r="C48" s="96"/>
      <c r="D48" s="96"/>
      <c r="E48" s="96"/>
      <c r="F48" s="97"/>
      <c r="G48" s="82" t="s">
        <v>162</v>
      </c>
      <c r="H48" s="52" t="s">
        <v>94</v>
      </c>
      <c r="I48" s="83">
        <f>I47*VLOOKUP(I46,Working!A2:H12,7,FALSE)</f>
        <v>1.24</v>
      </c>
    </row>
    <row r="49" spans="1:9">
      <c r="A49" s="52"/>
      <c r="B49" s="95" t="s">
        <v>165</v>
      </c>
      <c r="C49" s="96"/>
      <c r="D49" s="96"/>
      <c r="E49" s="96"/>
      <c r="F49" s="97"/>
      <c r="G49" s="82" t="s">
        <v>65</v>
      </c>
      <c r="H49" s="52" t="s">
        <v>132</v>
      </c>
      <c r="I49" s="64">
        <f>ROUNDDOWN(I48/I7/MAX(0.0025,I43),0)</f>
        <v>6</v>
      </c>
    </row>
    <row r="50" spans="1:9">
      <c r="A50" s="52"/>
      <c r="B50" s="95" t="s">
        <v>199</v>
      </c>
      <c r="C50" s="96"/>
      <c r="D50" s="96"/>
      <c r="E50" s="96"/>
      <c r="F50" s="97"/>
      <c r="G50" s="82" t="s">
        <v>194</v>
      </c>
      <c r="H50" s="52" t="s">
        <v>132</v>
      </c>
      <c r="I50" s="83">
        <v>5</v>
      </c>
    </row>
    <row r="51" spans="1:9">
      <c r="A51" s="52"/>
      <c r="B51" s="95" t="s">
        <v>166</v>
      </c>
      <c r="C51" s="96"/>
      <c r="D51" s="96"/>
      <c r="E51" s="96"/>
      <c r="F51" s="97"/>
      <c r="G51" s="73" t="s">
        <v>164</v>
      </c>
      <c r="H51" s="52" t="s">
        <v>50</v>
      </c>
      <c r="I51" s="71">
        <f>I48/I50/I7</f>
        <v>8.266666666666667E-3</v>
      </c>
    </row>
    <row r="52" spans="1:9" hidden="1">
      <c r="A52" s="52"/>
      <c r="B52" s="95" t="s">
        <v>167</v>
      </c>
      <c r="C52" s="96"/>
      <c r="D52" s="96"/>
      <c r="E52" s="96"/>
      <c r="F52" s="97"/>
      <c r="G52" s="82" t="s">
        <v>155</v>
      </c>
      <c r="H52" s="60" t="s">
        <v>83</v>
      </c>
      <c r="I52" s="64">
        <f>16*12/141</f>
        <v>1.3617021276595744</v>
      </c>
    </row>
    <row r="53" spans="1:9" hidden="1">
      <c r="A53" s="52"/>
      <c r="B53" s="95" t="s">
        <v>169</v>
      </c>
      <c r="C53" s="96"/>
      <c r="D53" s="96"/>
      <c r="E53" s="96"/>
      <c r="F53" s="97"/>
      <c r="G53" s="82"/>
      <c r="H53" s="52" t="s">
        <v>168</v>
      </c>
      <c r="I53" s="83">
        <f>IF(I52&lt;=1.5,3,IF(I52&gt;=2,2,(3+(1.5-I52)/0.5)))</f>
        <v>3</v>
      </c>
    </row>
    <row r="54" spans="1:9" hidden="1">
      <c r="A54" s="52"/>
      <c r="B54" s="95" t="s">
        <v>170</v>
      </c>
      <c r="C54" s="96"/>
      <c r="D54" s="96"/>
      <c r="E54" s="96"/>
      <c r="F54" s="97"/>
      <c r="G54" s="82"/>
      <c r="H54" s="52"/>
      <c r="I54" s="83"/>
    </row>
    <row r="55" spans="1:9" hidden="1">
      <c r="A55" s="52"/>
      <c r="B55" s="89" t="s">
        <v>172</v>
      </c>
      <c r="C55" s="90"/>
      <c r="D55" s="90"/>
      <c r="E55" s="90"/>
      <c r="F55" s="91"/>
      <c r="G55" s="82" t="s">
        <v>171</v>
      </c>
      <c r="H55" s="52" t="s">
        <v>149</v>
      </c>
      <c r="I55" s="72">
        <f>I40*I8*(I53*I36*SQRT(I35*1000)+(I51*60000))/1000</f>
        <v>2369.8511802538064</v>
      </c>
    </row>
    <row r="56" spans="1:9" hidden="1">
      <c r="A56" s="52"/>
      <c r="B56" s="89" t="s">
        <v>173</v>
      </c>
      <c r="C56" s="90"/>
      <c r="D56" s="90"/>
      <c r="E56" s="90"/>
      <c r="F56" s="91"/>
      <c r="G56" s="82" t="s">
        <v>140</v>
      </c>
      <c r="H56" s="60" t="s">
        <v>83</v>
      </c>
      <c r="I56" s="83" t="str">
        <f>IF(I55&gt;I32,"OK","Check")</f>
        <v>OK</v>
      </c>
    </row>
    <row r="57" spans="1:9" ht="15" thickBot="1">
      <c r="A57" s="53"/>
      <c r="B57" s="92"/>
      <c r="C57" s="93"/>
      <c r="D57" s="93"/>
      <c r="E57" s="93"/>
      <c r="F57" s="94"/>
      <c r="G57" s="57" t="s">
        <v>175</v>
      </c>
      <c r="H57" s="53"/>
      <c r="I57" s="75">
        <f>I44/I51</f>
        <v>0.8215316923873871</v>
      </c>
    </row>
  </sheetData>
  <mergeCells count="57">
    <mergeCell ref="B33:F33"/>
    <mergeCell ref="B34:F34"/>
    <mergeCell ref="B16:F16"/>
    <mergeCell ref="B30:F30"/>
    <mergeCell ref="B31:F31"/>
    <mergeCell ref="B29:F29"/>
    <mergeCell ref="B20:F20"/>
    <mergeCell ref="B21:F21"/>
    <mergeCell ref="B22:F22"/>
    <mergeCell ref="B17:F17"/>
    <mergeCell ref="B18:F18"/>
    <mergeCell ref="B19:F19"/>
    <mergeCell ref="B26:F26"/>
    <mergeCell ref="B51:F51"/>
    <mergeCell ref="B52:F52"/>
    <mergeCell ref="B53:F53"/>
    <mergeCell ref="B45:F45"/>
    <mergeCell ref="B46:F46"/>
    <mergeCell ref="B47:F47"/>
    <mergeCell ref="B48:F48"/>
    <mergeCell ref="B49:F49"/>
    <mergeCell ref="B6:F6"/>
    <mergeCell ref="B1:F1"/>
    <mergeCell ref="B2:F2"/>
    <mergeCell ref="B3:F3"/>
    <mergeCell ref="B4:F4"/>
    <mergeCell ref="B5:F5"/>
    <mergeCell ref="B27:F27"/>
    <mergeCell ref="B28:F28"/>
    <mergeCell ref="B23:F23"/>
    <mergeCell ref="B24:F24"/>
    <mergeCell ref="B7:F7"/>
    <mergeCell ref="B8:F8"/>
    <mergeCell ref="B9:F9"/>
    <mergeCell ref="B10:F10"/>
    <mergeCell ref="B11:F11"/>
    <mergeCell ref="B13:F13"/>
    <mergeCell ref="B14:F14"/>
    <mergeCell ref="B12:F12"/>
    <mergeCell ref="B25:F25"/>
    <mergeCell ref="B15:F15"/>
    <mergeCell ref="B56:F56"/>
    <mergeCell ref="B57:F57"/>
    <mergeCell ref="B32:F32"/>
    <mergeCell ref="B35:F35"/>
    <mergeCell ref="B39:F39"/>
    <mergeCell ref="B54:F54"/>
    <mergeCell ref="B55:F55"/>
    <mergeCell ref="B41:F41"/>
    <mergeCell ref="B42:F42"/>
    <mergeCell ref="B43:F43"/>
    <mergeCell ref="B44:F44"/>
    <mergeCell ref="B36:F36"/>
    <mergeCell ref="B37:F37"/>
    <mergeCell ref="B38:F38"/>
    <mergeCell ref="B40:F40"/>
    <mergeCell ref="B50:F50"/>
  </mergeCells>
  <printOptions gridLines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41C2-A93E-4838-862C-926D135C9CC0}">
  <dimension ref="A6:Y434"/>
  <sheetViews>
    <sheetView view="pageBreakPreview" topLeftCell="F4" zoomScale="85" zoomScaleNormal="69" zoomScaleSheetLayoutView="85" workbookViewId="0">
      <selection activeCell="G69" sqref="G69:G70"/>
    </sheetView>
  </sheetViews>
  <sheetFormatPr defaultColWidth="8.90625" defaultRowHeight="14.5"/>
  <cols>
    <col min="1" max="1" width="19.54296875" style="9" customWidth="1"/>
    <col min="2" max="2" width="10.08984375" style="9" customWidth="1"/>
    <col min="3" max="3" width="11.453125" style="9" bestFit="1" customWidth="1"/>
    <col min="4" max="4" width="8.90625" style="9"/>
    <col min="5" max="5" width="10" style="9" bestFit="1" customWidth="1"/>
    <col min="6" max="6" width="9" style="9" bestFit="1" customWidth="1"/>
    <col min="7" max="8" width="9.36328125" style="9" bestFit="1" customWidth="1"/>
    <col min="9" max="20" width="9" style="9" bestFit="1" customWidth="1"/>
    <col min="21" max="21" width="30.1796875" style="9" bestFit="1" customWidth="1"/>
    <col min="22" max="16384" width="8.90625" style="9"/>
  </cols>
  <sheetData>
    <row r="6" spans="1:25">
      <c r="B6" s="9" t="s">
        <v>0</v>
      </c>
      <c r="C6" s="9" t="s">
        <v>13</v>
      </c>
      <c r="D6" s="10">
        <v>7</v>
      </c>
    </row>
    <row r="7" spans="1:25">
      <c r="B7" s="9" t="s">
        <v>1</v>
      </c>
      <c r="C7" s="9" t="s">
        <v>13</v>
      </c>
      <c r="D7" s="10">
        <f>1.25*80</f>
        <v>100</v>
      </c>
      <c r="V7" s="37" t="s">
        <v>63</v>
      </c>
      <c r="W7" s="37" t="s">
        <v>178</v>
      </c>
      <c r="X7" s="37" t="s">
        <v>64</v>
      </c>
      <c r="Y7" s="68" t="s">
        <v>179</v>
      </c>
    </row>
    <row r="8" spans="1:25">
      <c r="D8" s="10"/>
      <c r="V8" s="37" t="s">
        <v>75</v>
      </c>
      <c r="W8" s="37" t="s">
        <v>76</v>
      </c>
      <c r="X8" s="37" t="s">
        <v>76</v>
      </c>
      <c r="Y8" s="80" t="s">
        <v>83</v>
      </c>
    </row>
    <row r="9" spans="1:25">
      <c r="B9" s="9" t="s">
        <v>40</v>
      </c>
      <c r="C9" s="9" t="s">
        <v>13</v>
      </c>
      <c r="D9" s="10">
        <v>29000</v>
      </c>
      <c r="U9" s="37" t="s">
        <v>69</v>
      </c>
      <c r="V9" s="9">
        <f>'BE Calcs'!C4</f>
        <v>6581</v>
      </c>
      <c r="W9" s="26">
        <f>X41</f>
        <v>83313.867927114188</v>
      </c>
      <c r="X9" s="9">
        <f>'BE Calcs'!D4</f>
        <v>39175</v>
      </c>
      <c r="Y9" s="22">
        <f>W9/X9</f>
        <v>2.1267100938637955</v>
      </c>
    </row>
    <row r="10" spans="1:25">
      <c r="D10" s="10"/>
      <c r="U10" s="37" t="s">
        <v>70</v>
      </c>
      <c r="V10" s="9">
        <f>'BE Calcs'!C5</f>
        <v>-13858</v>
      </c>
      <c r="W10" s="26">
        <f>X49</f>
        <v>-97142.023540048758</v>
      </c>
      <c r="X10" s="9">
        <f>'BE Calcs'!D5</f>
        <v>-38835</v>
      </c>
      <c r="Y10" s="22">
        <f>W10/X10</f>
        <v>2.5014039794012812</v>
      </c>
    </row>
    <row r="11" spans="1:25">
      <c r="B11" s="9" t="s">
        <v>2</v>
      </c>
      <c r="C11" s="9" t="s">
        <v>14</v>
      </c>
      <c r="D11" s="10">
        <v>141</v>
      </c>
      <c r="U11" s="37" t="s">
        <v>71</v>
      </c>
      <c r="V11" s="9">
        <f>'BE Calcs'!C6</f>
        <v>1522</v>
      </c>
      <c r="W11" s="26">
        <f>X45</f>
        <v>111468.83505878403</v>
      </c>
      <c r="X11" s="9">
        <f>'BE Calcs'!D6</f>
        <v>39418</v>
      </c>
      <c r="Y11" s="22">
        <f>W11/X11</f>
        <v>2.8278663315942976</v>
      </c>
    </row>
    <row r="12" spans="1:25">
      <c r="B12" s="9" t="s">
        <v>3</v>
      </c>
      <c r="C12" s="9" t="s">
        <v>14</v>
      </c>
      <c r="D12" s="10">
        <v>318</v>
      </c>
      <c r="U12" s="37" t="s">
        <v>72</v>
      </c>
      <c r="V12" s="9">
        <f>'BE Calcs'!C7</f>
        <v>-19139</v>
      </c>
      <c r="W12" s="27">
        <f>X53</f>
        <v>-108564.15532551953</v>
      </c>
      <c r="X12" s="9">
        <f>'BE Calcs'!D7</f>
        <v>-39418</v>
      </c>
      <c r="Y12" s="22">
        <f>W12/X12</f>
        <v>2.7541771608280361</v>
      </c>
    </row>
    <row r="13" spans="1:25">
      <c r="B13" s="9" t="s">
        <v>4</v>
      </c>
      <c r="C13" s="9" t="s">
        <v>14</v>
      </c>
      <c r="D13" s="10">
        <v>30</v>
      </c>
    </row>
    <row r="14" spans="1:25">
      <c r="B14" s="9" t="s">
        <v>5</v>
      </c>
      <c r="C14" s="9" t="s">
        <v>14</v>
      </c>
      <c r="D14" s="10">
        <v>30</v>
      </c>
    </row>
    <row r="15" spans="1:25">
      <c r="A15" s="38">
        <f>1.4/100*D11*D13</f>
        <v>59.219999999999992</v>
      </c>
      <c r="D15" s="10"/>
    </row>
    <row r="16" spans="1:25">
      <c r="B16" s="11" t="s">
        <v>6</v>
      </c>
      <c r="D16" s="12">
        <f>MAX(0.65,MIN(0.85,0.85-0.05*(D6-4)))</f>
        <v>0.7</v>
      </c>
    </row>
    <row r="17" spans="1:23">
      <c r="D17" s="10"/>
    </row>
    <row r="18" spans="1:23">
      <c r="B18" s="9" t="s">
        <v>12</v>
      </c>
      <c r="C18" s="9" t="s">
        <v>15</v>
      </c>
      <c r="D18" s="10">
        <f>2*D11*D13+(D12-2*D13)*D14</f>
        <v>16200</v>
      </c>
    </row>
    <row r="19" spans="1:23">
      <c r="B19" s="9" t="s">
        <v>11</v>
      </c>
      <c r="C19" s="9" t="s">
        <v>14</v>
      </c>
      <c r="D19" s="12">
        <f>(D11^2*D13+(D12-2*D13)*D14^2/2)/D18</f>
        <v>43.983333333333334</v>
      </c>
      <c r="U19" s="9" t="s">
        <v>180</v>
      </c>
      <c r="V19" s="9" t="s">
        <v>181</v>
      </c>
      <c r="W19" s="9">
        <v>14</v>
      </c>
    </row>
    <row r="20" spans="1:23">
      <c r="D20" s="10"/>
      <c r="U20" s="9" t="s">
        <v>182</v>
      </c>
      <c r="W20" s="9">
        <v>14</v>
      </c>
    </row>
    <row r="21" spans="1:23">
      <c r="A21" s="9" t="s">
        <v>65</v>
      </c>
      <c r="B21" s="9" t="s">
        <v>16</v>
      </c>
      <c r="C21" s="9" t="s">
        <v>14</v>
      </c>
      <c r="D21" s="10">
        <f>D14/2</f>
        <v>15</v>
      </c>
    </row>
    <row r="22" spans="1:23">
      <c r="B22" s="9" t="s">
        <v>17</v>
      </c>
      <c r="C22" s="9" t="s">
        <v>14</v>
      </c>
      <c r="D22" s="10">
        <f>D11/4</f>
        <v>35.25</v>
      </c>
    </row>
    <row r="23" spans="1:23">
      <c r="B23" s="9" t="s">
        <v>18</v>
      </c>
      <c r="C23" s="9" t="s">
        <v>14</v>
      </c>
      <c r="D23" s="10">
        <f>3*D11/4</f>
        <v>105.75</v>
      </c>
    </row>
    <row r="24" spans="1:23">
      <c r="B24" s="9" t="s">
        <v>45</v>
      </c>
      <c r="C24" s="9" t="s">
        <v>14</v>
      </c>
      <c r="D24" s="12">
        <f>(D27*D21+2*(D28*D22+D29*D23))/(D27+2*(D28+D29))</f>
        <v>43.983333333333334</v>
      </c>
      <c r="H24" s="16"/>
      <c r="K24" s="17"/>
    </row>
    <row r="25" spans="1:23">
      <c r="D25" s="10"/>
    </row>
    <row r="26" spans="1:23">
      <c r="B26" s="11" t="s">
        <v>7</v>
      </c>
      <c r="D26" s="14">
        <v>1.21E-2</v>
      </c>
    </row>
    <row r="27" spans="1:23">
      <c r="B27" s="9" t="s">
        <v>8</v>
      </c>
      <c r="C27" s="9" t="s">
        <v>15</v>
      </c>
      <c r="D27" s="12">
        <f>D26*($D$12-2*$D$13)*$D$14</f>
        <v>93.653999999999996</v>
      </c>
    </row>
    <row r="28" spans="1:23">
      <c r="B28" s="9" t="s">
        <v>9</v>
      </c>
      <c r="C28" s="9" t="s">
        <v>15</v>
      </c>
      <c r="D28" s="12">
        <f>D26*$D$11/2*$D$13</f>
        <v>25.5915</v>
      </c>
    </row>
    <row r="29" spans="1:23">
      <c r="B29" s="9" t="s">
        <v>10</v>
      </c>
      <c r="C29" s="9" t="s">
        <v>15</v>
      </c>
      <c r="D29" s="12">
        <f>D28</f>
        <v>25.5915</v>
      </c>
    </row>
    <row r="30" spans="1:23">
      <c r="D30" s="10"/>
    </row>
    <row r="31" spans="1:23">
      <c r="B31" s="15" t="s">
        <v>46</v>
      </c>
      <c r="C31" s="9" t="s">
        <v>15</v>
      </c>
      <c r="D31" s="13">
        <f>D27+2*(D28+D29)</f>
        <v>196.01999999999998</v>
      </c>
    </row>
    <row r="34" spans="1:24">
      <c r="B34" s="18" t="s">
        <v>38</v>
      </c>
      <c r="C34" s="18" t="s">
        <v>37</v>
      </c>
      <c r="D34" s="18" t="s">
        <v>47</v>
      </c>
      <c r="E34" s="19" t="s">
        <v>19</v>
      </c>
      <c r="F34" s="19" t="s">
        <v>20</v>
      </c>
      <c r="G34" s="19" t="s">
        <v>21</v>
      </c>
      <c r="H34" s="19" t="s">
        <v>22</v>
      </c>
      <c r="I34" s="19" t="s">
        <v>23</v>
      </c>
      <c r="J34" s="19" t="s">
        <v>24</v>
      </c>
      <c r="K34" s="19" t="s">
        <v>25</v>
      </c>
      <c r="L34" s="19" t="s">
        <v>26</v>
      </c>
      <c r="M34" s="19" t="s">
        <v>27</v>
      </c>
      <c r="N34" s="19" t="s">
        <v>28</v>
      </c>
      <c r="O34" s="19" t="s">
        <v>29</v>
      </c>
      <c r="P34" s="19" t="s">
        <v>30</v>
      </c>
      <c r="Q34" s="19" t="s">
        <v>31</v>
      </c>
      <c r="R34" s="19" t="s">
        <v>32</v>
      </c>
      <c r="S34" s="19" t="s">
        <v>33</v>
      </c>
      <c r="T34" s="19" t="s">
        <v>34</v>
      </c>
      <c r="U34" s="19" t="s">
        <v>35</v>
      </c>
    </row>
    <row r="35" spans="1:24">
      <c r="B35" s="20"/>
      <c r="C35" s="21" t="s">
        <v>14</v>
      </c>
      <c r="D35" s="21"/>
      <c r="E35" s="21" t="s">
        <v>39</v>
      </c>
      <c r="F35" s="20"/>
      <c r="G35" s="20"/>
      <c r="H35" s="20"/>
      <c r="I35" s="20"/>
      <c r="J35" s="21" t="s">
        <v>13</v>
      </c>
      <c r="K35" s="21" t="s">
        <v>13</v>
      </c>
      <c r="L35" s="21" t="s">
        <v>13</v>
      </c>
      <c r="M35" s="21" t="s">
        <v>41</v>
      </c>
      <c r="N35" s="21" t="s">
        <v>41</v>
      </c>
      <c r="O35" s="21" t="s">
        <v>41</v>
      </c>
      <c r="P35" s="21" t="s">
        <v>41</v>
      </c>
      <c r="Q35" s="21" t="s">
        <v>41</v>
      </c>
      <c r="R35" s="21" t="s">
        <v>42</v>
      </c>
      <c r="S35" s="21"/>
      <c r="T35" s="21" t="s">
        <v>41</v>
      </c>
      <c r="U35" s="21" t="s">
        <v>42</v>
      </c>
    </row>
    <row r="36" spans="1:24">
      <c r="A36" s="15" t="s">
        <v>36</v>
      </c>
      <c r="B36" s="22"/>
      <c r="C36" s="23"/>
      <c r="D36" s="23"/>
      <c r="E36" s="24"/>
      <c r="F36" s="17"/>
      <c r="G36" s="25"/>
      <c r="H36" s="25"/>
      <c r="I36" s="25"/>
      <c r="J36" s="26"/>
      <c r="K36" s="26"/>
      <c r="L36" s="26"/>
      <c r="M36" s="27"/>
      <c r="N36" s="27"/>
      <c r="O36" s="27"/>
      <c r="P36" s="27"/>
      <c r="Q36" s="27"/>
      <c r="R36" s="27"/>
      <c r="S36" s="16"/>
      <c r="T36" s="27"/>
      <c r="U36" s="27"/>
    </row>
    <row r="37" spans="1:24">
      <c r="B37" s="22">
        <v>1.0000000000000001E-5</v>
      </c>
      <c r="C37" s="28">
        <f t="shared" ref="C37:C55" si="0">B37/$D$16*$D$14</f>
        <v>4.285714285714286E-4</v>
      </c>
      <c r="D37" s="29">
        <f>C37/$D$11</f>
        <v>3.0395136778115506E-6</v>
      </c>
      <c r="E37" s="25">
        <f t="shared" ref="E37:E55" si="1">-0.003/C37</f>
        <v>-7</v>
      </c>
      <c r="F37" s="17">
        <f t="shared" ref="F37:F55" si="2">E37*(C37-$D$11)</f>
        <v>986.99700000000007</v>
      </c>
      <c r="G37" s="25">
        <f t="shared" ref="G37:G55" si="3">E37*(C37-$D$21)</f>
        <v>104.997</v>
      </c>
      <c r="H37" s="25">
        <f t="shared" ref="H37:H55" si="4">E37*(C37-$D$22)</f>
        <v>246.74700000000001</v>
      </c>
      <c r="I37" s="25">
        <f t="shared" ref="I37:I55" si="5">E37*(C37-$D$23)</f>
        <v>740.24699999999996</v>
      </c>
      <c r="J37" s="26">
        <f>SIGN(G37)*MIN($D$9*ABS(G37),$D$7)</f>
        <v>100</v>
      </c>
      <c r="K37" s="26">
        <f t="shared" ref="K37:L55" si="6">SIGN(H37)*MIN($D$9*ABS(H37),$D$7)</f>
        <v>100</v>
      </c>
      <c r="L37" s="26">
        <f t="shared" si="6"/>
        <v>100</v>
      </c>
      <c r="M37" s="27">
        <f>$D$27*J37</f>
        <v>9365.4</v>
      </c>
      <c r="N37" s="27">
        <f>$D$28*K37*2</f>
        <v>5118.3</v>
      </c>
      <c r="O37" s="27">
        <f>$D$29*L37*2</f>
        <v>5118.3</v>
      </c>
      <c r="P37" s="27">
        <v>0</v>
      </c>
      <c r="Q37" s="27">
        <f>SUM(M37:P37)</f>
        <v>19602</v>
      </c>
      <c r="R37" s="27">
        <f>(P37*($D$19-$D$16*C37/2)+M37*($D$19-$D$21)+N37*($D$19-$D$22)+O37*($D$19-$D$23))/12</f>
        <v>0</v>
      </c>
      <c r="S37" s="16">
        <v>1</v>
      </c>
      <c r="T37" s="27">
        <f>S37*Q37</f>
        <v>19602</v>
      </c>
      <c r="U37" s="27">
        <f>S37*R37</f>
        <v>0</v>
      </c>
    </row>
    <row r="38" spans="1:24">
      <c r="B38" s="22">
        <v>0.05</v>
      </c>
      <c r="C38" s="23">
        <f>B38/$D$16*$D$14</f>
        <v>2.1428571428571432</v>
      </c>
      <c r="D38" s="29">
        <f>C38/$D$11</f>
        <v>1.5197568389057753E-2</v>
      </c>
      <c r="E38" s="25">
        <f t="shared" si="1"/>
        <v>-1.3999999999999998E-3</v>
      </c>
      <c r="F38" s="17">
        <f t="shared" si="2"/>
        <v>0.19439999999999996</v>
      </c>
      <c r="G38" s="25">
        <f t="shared" si="3"/>
        <v>1.7999999999999999E-2</v>
      </c>
      <c r="H38" s="25">
        <f t="shared" si="4"/>
        <v>4.6349999999999988E-2</v>
      </c>
      <c r="I38" s="25">
        <f t="shared" si="5"/>
        <v>0.14504999999999998</v>
      </c>
      <c r="J38" s="26">
        <f t="shared" ref="J38:J55" si="7">SIGN(G38)*MIN($D$9*ABS(G38),$D$7)</f>
        <v>100</v>
      </c>
      <c r="K38" s="26">
        <f t="shared" si="6"/>
        <v>100</v>
      </c>
      <c r="L38" s="26">
        <f t="shared" si="6"/>
        <v>100</v>
      </c>
      <c r="M38" s="27">
        <f t="shared" ref="M38:M55" si="8">$D$27*J38</f>
        <v>9365.4</v>
      </c>
      <c r="N38" s="27">
        <f t="shared" ref="N38:N55" si="9">$D$28*K38*2</f>
        <v>5118.3</v>
      </c>
      <c r="O38" s="27">
        <f t="shared" ref="O38:O55" si="10">$D$29*L38*2</f>
        <v>5118.3</v>
      </c>
      <c r="P38" s="27">
        <f t="shared" ref="P38:P55" si="11">$D$16*C38*$D$12*(-0.85*$D$6)</f>
        <v>-2838.1500000000005</v>
      </c>
      <c r="Q38" s="27">
        <f t="shared" ref="Q38:Q55" si="12">SUM(M38:P38)</f>
        <v>16763.849999999999</v>
      </c>
      <c r="R38" s="27">
        <f t="shared" ref="R38:R55" si="13">(P38*($D$19-$D$16*C38/2)+M38*($D$19-$D$21)+N38*($D$19-$D$22)+O38*($D$19-$D$23))/12</f>
        <v>-10225.223750000003</v>
      </c>
      <c r="S38" s="16">
        <v>1</v>
      </c>
      <c r="T38" s="27">
        <f t="shared" ref="T38:T55" si="14">S38*Q38</f>
        <v>16763.849999999999</v>
      </c>
      <c r="U38" s="27">
        <f t="shared" ref="U38:U55" si="15">S38*R38</f>
        <v>-10225.223750000003</v>
      </c>
    </row>
    <row r="39" spans="1:24">
      <c r="B39" s="22">
        <v>0.1</v>
      </c>
      <c r="C39" s="23">
        <f>B39/$D$16*$D$14</f>
        <v>4.2857142857142865</v>
      </c>
      <c r="D39" s="29">
        <f>C39/$D$11</f>
        <v>3.0395136778115506E-2</v>
      </c>
      <c r="E39" s="25">
        <f t="shared" si="1"/>
        <v>-6.9999999999999988E-4</v>
      </c>
      <c r="F39" s="17">
        <f t="shared" si="2"/>
        <v>9.5699999999999993E-2</v>
      </c>
      <c r="G39" s="25">
        <f t="shared" si="3"/>
        <v>7.499999999999998E-3</v>
      </c>
      <c r="H39" s="25">
        <f t="shared" si="4"/>
        <v>2.1674999999999996E-2</v>
      </c>
      <c r="I39" s="25">
        <f t="shared" si="5"/>
        <v>7.1024999999999991E-2</v>
      </c>
      <c r="J39" s="26">
        <f t="shared" si="7"/>
        <v>100</v>
      </c>
      <c r="K39" s="26">
        <f t="shared" si="6"/>
        <v>100</v>
      </c>
      <c r="L39" s="26">
        <f t="shared" si="6"/>
        <v>100</v>
      </c>
      <c r="M39" s="27">
        <f t="shared" si="8"/>
        <v>9365.4</v>
      </c>
      <c r="N39" s="27">
        <f t="shared" si="9"/>
        <v>5118.3</v>
      </c>
      <c r="O39" s="27">
        <f t="shared" si="10"/>
        <v>5118.3</v>
      </c>
      <c r="P39" s="27">
        <f t="shared" si="11"/>
        <v>-5676.3000000000011</v>
      </c>
      <c r="Q39" s="27">
        <f t="shared" si="12"/>
        <v>13925.699999999999</v>
      </c>
      <c r="R39" s="27">
        <f t="shared" si="13"/>
        <v>-20095.678750000003</v>
      </c>
      <c r="S39" s="16">
        <v>1</v>
      </c>
      <c r="T39" s="27">
        <f t="shared" si="14"/>
        <v>13925.699999999999</v>
      </c>
      <c r="U39" s="27">
        <f t="shared" si="15"/>
        <v>-20095.678750000003</v>
      </c>
    </row>
    <row r="40" spans="1:24">
      <c r="B40" s="22">
        <v>0.15</v>
      </c>
      <c r="C40" s="23">
        <f>B40/$D$16*$D$14</f>
        <v>6.4285714285714288</v>
      </c>
      <c r="D40" s="29">
        <f t="shared" ref="D40:D54" si="16">C40/$D$11</f>
        <v>4.5592705167173252E-2</v>
      </c>
      <c r="E40" s="25">
        <f t="shared" si="1"/>
        <v>-4.6666666666666666E-4</v>
      </c>
      <c r="F40" s="17">
        <f t="shared" si="2"/>
        <v>6.2800000000000009E-2</v>
      </c>
      <c r="G40" s="25">
        <f t="shared" si="3"/>
        <v>4.0000000000000001E-3</v>
      </c>
      <c r="H40" s="25">
        <f t="shared" si="4"/>
        <v>1.3449999999999998E-2</v>
      </c>
      <c r="I40" s="25">
        <f t="shared" si="5"/>
        <v>4.6349999999999995E-2</v>
      </c>
      <c r="J40" s="26">
        <f t="shared" si="7"/>
        <v>100</v>
      </c>
      <c r="K40" s="26">
        <f t="shared" si="6"/>
        <v>100</v>
      </c>
      <c r="L40" s="26">
        <f t="shared" si="6"/>
        <v>100</v>
      </c>
      <c r="M40" s="27">
        <f t="shared" si="8"/>
        <v>9365.4</v>
      </c>
      <c r="N40" s="27">
        <f t="shared" si="9"/>
        <v>5118.3</v>
      </c>
      <c r="O40" s="27">
        <f t="shared" si="10"/>
        <v>5118.3</v>
      </c>
      <c r="P40" s="27">
        <f t="shared" si="11"/>
        <v>-8514.4500000000007</v>
      </c>
      <c r="Q40" s="27">
        <f t="shared" si="12"/>
        <v>11087.55</v>
      </c>
      <c r="R40" s="27">
        <f t="shared" si="13"/>
        <v>-29611.365000000005</v>
      </c>
      <c r="S40" s="16">
        <v>1</v>
      </c>
      <c r="T40" s="27">
        <f t="shared" si="14"/>
        <v>11087.55</v>
      </c>
      <c r="U40" s="27">
        <f t="shared" si="15"/>
        <v>-29611.365000000005</v>
      </c>
      <c r="W40" s="32">
        <f>T63</f>
        <v>10702.613701591315</v>
      </c>
      <c r="X40" s="32">
        <f>U63</f>
        <v>59131.789405814146</v>
      </c>
    </row>
    <row r="41" spans="1:24">
      <c r="B41" s="22">
        <v>0.2</v>
      </c>
      <c r="C41" s="23">
        <f>B41/$D$16*$D$14</f>
        <v>8.571428571428573</v>
      </c>
      <c r="D41" s="29">
        <f t="shared" si="16"/>
        <v>6.0790273556231011E-2</v>
      </c>
      <c r="E41" s="25">
        <f t="shared" si="1"/>
        <v>-3.4999999999999994E-4</v>
      </c>
      <c r="F41" s="17">
        <f t="shared" si="2"/>
        <v>4.6349999999999988E-2</v>
      </c>
      <c r="G41" s="25">
        <f t="shared" si="3"/>
        <v>2.249999999999999E-3</v>
      </c>
      <c r="H41" s="25">
        <f t="shared" si="4"/>
        <v>9.3374999999999986E-3</v>
      </c>
      <c r="I41" s="25">
        <f t="shared" si="5"/>
        <v>3.4012499999999994E-2</v>
      </c>
      <c r="J41" s="26">
        <f t="shared" si="7"/>
        <v>65.249999999999972</v>
      </c>
      <c r="K41" s="26">
        <f t="shared" si="6"/>
        <v>100</v>
      </c>
      <c r="L41" s="26">
        <f t="shared" si="6"/>
        <v>100</v>
      </c>
      <c r="M41" s="27">
        <f t="shared" si="8"/>
        <v>6110.9234999999971</v>
      </c>
      <c r="N41" s="27">
        <f t="shared" si="9"/>
        <v>5118.3</v>
      </c>
      <c r="O41" s="27">
        <f t="shared" si="10"/>
        <v>5118.3</v>
      </c>
      <c r="P41" s="27">
        <f t="shared" si="11"/>
        <v>-11352.600000000002</v>
      </c>
      <c r="Q41" s="27">
        <f t="shared" si="12"/>
        <v>4994.9234999999935</v>
      </c>
      <c r="R41" s="27">
        <f t="shared" si="13"/>
        <v>-46632.747268750012</v>
      </c>
      <c r="S41" s="16">
        <v>1</v>
      </c>
      <c r="T41" s="27">
        <f t="shared" si="14"/>
        <v>4994.9234999999935</v>
      </c>
      <c r="U41" s="27">
        <f t="shared" si="15"/>
        <v>-46632.747268750012</v>
      </c>
      <c r="W41" s="10">
        <f>V9</f>
        <v>6581</v>
      </c>
      <c r="X41" s="13">
        <f>X40+((X40-X42)/(W40-W42))*(W41-W40)</f>
        <v>83313.867927114188</v>
      </c>
    </row>
    <row r="42" spans="1:24">
      <c r="B42" s="22">
        <v>0.25</v>
      </c>
      <c r="C42" s="23">
        <f>B42/$D$16*$D$14</f>
        <v>10.714285714285715</v>
      </c>
      <c r="D42" s="29">
        <f t="shared" si="16"/>
        <v>7.5987841945288764E-2</v>
      </c>
      <c r="E42" s="25">
        <f t="shared" si="1"/>
        <v>-2.7999999999999998E-4</v>
      </c>
      <c r="F42" s="17">
        <f t="shared" si="2"/>
        <v>3.6479999999999992E-2</v>
      </c>
      <c r="G42" s="25">
        <f t="shared" si="3"/>
        <v>1.1999999999999997E-3</v>
      </c>
      <c r="H42" s="25">
        <f t="shared" si="4"/>
        <v>6.8699999999999994E-3</v>
      </c>
      <c r="I42" s="25">
        <f t="shared" si="5"/>
        <v>2.6609999999999995E-2</v>
      </c>
      <c r="J42" s="26">
        <f t="shared" si="7"/>
        <v>34.79999999999999</v>
      </c>
      <c r="K42" s="26">
        <f t="shared" si="6"/>
        <v>100</v>
      </c>
      <c r="L42" s="26">
        <f t="shared" si="6"/>
        <v>100</v>
      </c>
      <c r="M42" s="27">
        <f t="shared" si="8"/>
        <v>3259.1591999999991</v>
      </c>
      <c r="N42" s="27">
        <f t="shared" si="9"/>
        <v>5118.3</v>
      </c>
      <c r="O42" s="27">
        <f t="shared" si="10"/>
        <v>5118.3</v>
      </c>
      <c r="P42" s="27">
        <f t="shared" si="11"/>
        <v>-14190.75</v>
      </c>
      <c r="Q42" s="27">
        <f t="shared" si="12"/>
        <v>-694.99079999999958</v>
      </c>
      <c r="R42" s="27">
        <f t="shared" si="13"/>
        <v>-62326.698960000009</v>
      </c>
      <c r="S42" s="16">
        <v>1</v>
      </c>
      <c r="T42" s="27">
        <f t="shared" si="14"/>
        <v>-694.99079999999958</v>
      </c>
      <c r="U42" s="27">
        <f t="shared" si="15"/>
        <v>-62326.698960000009</v>
      </c>
      <c r="W42" s="32">
        <f>T64</f>
        <v>7074.0638119598298</v>
      </c>
      <c r="X42" s="32">
        <f>U64</f>
        <v>80420.99424217359</v>
      </c>
    </row>
    <row r="43" spans="1:24">
      <c r="B43" s="22">
        <v>0.3</v>
      </c>
      <c r="C43" s="48">
        <f t="shared" si="0"/>
        <v>12.857142857142858</v>
      </c>
      <c r="D43" s="31">
        <f t="shared" si="16"/>
        <v>9.1185410334346503E-2</v>
      </c>
      <c r="E43" s="43">
        <f t="shared" si="1"/>
        <v>-2.3333333333333333E-4</v>
      </c>
      <c r="F43" s="42">
        <f t="shared" si="2"/>
        <v>2.9899999999999999E-2</v>
      </c>
      <c r="G43" s="43">
        <f t="shared" si="3"/>
        <v>4.999999999999999E-4</v>
      </c>
      <c r="H43" s="43">
        <f t="shared" si="4"/>
        <v>5.2249999999999996E-3</v>
      </c>
      <c r="I43" s="43">
        <f t="shared" si="5"/>
        <v>2.1675E-2</v>
      </c>
      <c r="J43" s="40">
        <f t="shared" si="7"/>
        <v>14.499999999999996</v>
      </c>
      <c r="K43" s="40">
        <f t="shared" si="6"/>
        <v>100</v>
      </c>
      <c r="L43" s="40">
        <f t="shared" si="6"/>
        <v>100</v>
      </c>
      <c r="M43" s="44">
        <f t="shared" si="8"/>
        <v>1357.9829999999997</v>
      </c>
      <c r="N43" s="44">
        <f t="shared" si="9"/>
        <v>5118.3</v>
      </c>
      <c r="O43" s="44">
        <f t="shared" si="10"/>
        <v>5118.3</v>
      </c>
      <c r="P43" s="44">
        <f t="shared" si="11"/>
        <v>-17028.900000000001</v>
      </c>
      <c r="Q43" s="44">
        <f t="shared" si="12"/>
        <v>-5434.3170000000027</v>
      </c>
      <c r="R43" s="44">
        <f t="shared" si="13"/>
        <v>-75369.947587500021</v>
      </c>
      <c r="S43" s="16">
        <v>1</v>
      </c>
      <c r="T43" s="44">
        <f t="shared" si="14"/>
        <v>-5434.3170000000027</v>
      </c>
      <c r="U43" s="27">
        <f t="shared" si="15"/>
        <v>-75369.947587500021</v>
      </c>
      <c r="W43" s="10"/>
      <c r="X43" s="10"/>
    </row>
    <row r="44" spans="1:24">
      <c r="B44" s="22">
        <v>0.35</v>
      </c>
      <c r="C44" s="48">
        <f t="shared" si="0"/>
        <v>15</v>
      </c>
      <c r="D44" s="31">
        <f t="shared" si="16"/>
        <v>0.10638297872340426</v>
      </c>
      <c r="E44" s="43">
        <f t="shared" si="1"/>
        <v>-2.0000000000000001E-4</v>
      </c>
      <c r="F44" s="42">
        <f t="shared" si="2"/>
        <v>2.52E-2</v>
      </c>
      <c r="G44" s="43">
        <f t="shared" si="3"/>
        <v>0</v>
      </c>
      <c r="H44" s="43">
        <f t="shared" si="4"/>
        <v>4.0499999999999998E-3</v>
      </c>
      <c r="I44" s="43">
        <f t="shared" si="5"/>
        <v>1.8149999999999999E-2</v>
      </c>
      <c r="J44" s="40">
        <f t="shared" si="7"/>
        <v>0</v>
      </c>
      <c r="K44" s="40">
        <f t="shared" si="6"/>
        <v>100</v>
      </c>
      <c r="L44" s="40">
        <f t="shared" si="6"/>
        <v>100</v>
      </c>
      <c r="M44" s="44">
        <f t="shared" si="8"/>
        <v>0</v>
      </c>
      <c r="N44" s="44">
        <f t="shared" si="9"/>
        <v>5118.3</v>
      </c>
      <c r="O44" s="44">
        <f t="shared" si="10"/>
        <v>5118.3</v>
      </c>
      <c r="P44" s="44">
        <f t="shared" si="11"/>
        <v>-19867.05</v>
      </c>
      <c r="Q44" s="44">
        <f t="shared" si="12"/>
        <v>-9630.4499999999989</v>
      </c>
      <c r="R44" s="44">
        <f t="shared" si="13"/>
        <v>-86746.465000000011</v>
      </c>
      <c r="S44" s="16">
        <v>1</v>
      </c>
      <c r="T44" s="44">
        <f t="shared" si="14"/>
        <v>-9630.4499999999989</v>
      </c>
      <c r="U44" s="27">
        <f t="shared" si="15"/>
        <v>-86746.465000000011</v>
      </c>
      <c r="W44" s="32">
        <f>T65</f>
        <v>4105.7143487915819</v>
      </c>
      <c r="X44" s="32">
        <f>U65</f>
        <v>97399.288229323356</v>
      </c>
    </row>
    <row r="45" spans="1:24">
      <c r="B45" s="22">
        <v>0.4</v>
      </c>
      <c r="C45" s="48">
        <f t="shared" si="0"/>
        <v>17.142857142857146</v>
      </c>
      <c r="D45" s="31">
        <f t="shared" si="16"/>
        <v>0.12158054711246202</v>
      </c>
      <c r="E45" s="43">
        <f t="shared" si="1"/>
        <v>-1.7499999999999997E-4</v>
      </c>
      <c r="F45" s="42">
        <f t="shared" si="2"/>
        <v>2.1674999999999996E-2</v>
      </c>
      <c r="G45" s="43">
        <f t="shared" si="3"/>
        <v>-3.750000000000005E-4</v>
      </c>
      <c r="H45" s="43">
        <f t="shared" si="4"/>
        <v>3.1687499999999988E-3</v>
      </c>
      <c r="I45" s="43">
        <f t="shared" si="5"/>
        <v>1.5506249999999997E-2</v>
      </c>
      <c r="J45" s="40">
        <f t="shared" si="7"/>
        <v>-10.875000000000014</v>
      </c>
      <c r="K45" s="40">
        <f t="shared" si="6"/>
        <v>91.893749999999969</v>
      </c>
      <c r="L45" s="40">
        <f t="shared" si="6"/>
        <v>100</v>
      </c>
      <c r="M45" s="44">
        <f t="shared" si="8"/>
        <v>-1018.4872500000013</v>
      </c>
      <c r="N45" s="44">
        <f t="shared" si="9"/>
        <v>4703.3978062499982</v>
      </c>
      <c r="O45" s="44">
        <f t="shared" si="10"/>
        <v>5118.3</v>
      </c>
      <c r="P45" s="44">
        <f t="shared" si="11"/>
        <v>-22705.200000000004</v>
      </c>
      <c r="Q45" s="44">
        <f t="shared" si="12"/>
        <v>-13901.989443750008</v>
      </c>
      <c r="R45" s="44">
        <f t="shared" si="13"/>
        <v>-97250.193718437513</v>
      </c>
      <c r="S45" s="16">
        <v>1</v>
      </c>
      <c r="T45" s="44">
        <f t="shared" si="14"/>
        <v>-13901.989443750008</v>
      </c>
      <c r="U45" s="27">
        <f t="shared" si="15"/>
        <v>-97250.193718437513</v>
      </c>
      <c r="W45" s="10">
        <v>1522</v>
      </c>
      <c r="X45" s="13">
        <f>X44+((X44-X46)/(W44-W46))*(W45-W44)</f>
        <v>111468.83505878403</v>
      </c>
    </row>
    <row r="46" spans="1:24">
      <c r="B46" s="22">
        <v>0.45</v>
      </c>
      <c r="C46" s="48">
        <f t="shared" si="0"/>
        <v>19.285714285714288</v>
      </c>
      <c r="D46" s="31">
        <f t="shared" si="16"/>
        <v>0.13677811550151978</v>
      </c>
      <c r="E46" s="43">
        <f t="shared" si="1"/>
        <v>-1.5555555555555554E-4</v>
      </c>
      <c r="F46" s="42">
        <f t="shared" si="2"/>
        <v>1.893333333333333E-2</v>
      </c>
      <c r="G46" s="43">
        <f t="shared" si="3"/>
        <v>-6.6666666666666697E-4</v>
      </c>
      <c r="H46" s="43">
        <f t="shared" si="4"/>
        <v>2.4833333333333326E-3</v>
      </c>
      <c r="I46" s="43">
        <f t="shared" si="5"/>
        <v>1.3449999999999997E-2</v>
      </c>
      <c r="J46" s="40">
        <f t="shared" si="7"/>
        <v>-19.333333333333343</v>
      </c>
      <c r="K46" s="40">
        <f t="shared" si="6"/>
        <v>72.016666666666652</v>
      </c>
      <c r="L46" s="40">
        <f t="shared" si="6"/>
        <v>100</v>
      </c>
      <c r="M46" s="44">
        <f t="shared" si="8"/>
        <v>-1810.6440000000009</v>
      </c>
      <c r="N46" s="44">
        <f t="shared" si="9"/>
        <v>3686.0290499999992</v>
      </c>
      <c r="O46" s="44">
        <f t="shared" si="10"/>
        <v>5118.3</v>
      </c>
      <c r="P46" s="44">
        <f t="shared" si="11"/>
        <v>-25543.350000000006</v>
      </c>
      <c r="Q46" s="44">
        <f t="shared" si="12"/>
        <v>-18549.664950000006</v>
      </c>
      <c r="R46" s="44">
        <f t="shared" si="13"/>
        <v>-107290.96443583338</v>
      </c>
      <c r="S46" s="16">
        <v>1</v>
      </c>
      <c r="T46" s="44">
        <f t="shared" si="14"/>
        <v>-18549.664950000006</v>
      </c>
      <c r="U46" s="27">
        <f t="shared" si="15"/>
        <v>-107290.96443583338</v>
      </c>
      <c r="W46" s="32">
        <f>T66</f>
        <v>1467.5753159545202</v>
      </c>
      <c r="X46" s="32">
        <f>U66</f>
        <v>111765.20320846536</v>
      </c>
    </row>
    <row r="47" spans="1:24">
      <c r="B47" s="22">
        <v>0.5</v>
      </c>
      <c r="C47" s="23">
        <f t="shared" si="0"/>
        <v>21.428571428571431</v>
      </c>
      <c r="D47" s="29">
        <f t="shared" si="16"/>
        <v>0.15197568389057753</v>
      </c>
      <c r="E47" s="25">
        <f t="shared" si="1"/>
        <v>-1.3999999999999999E-4</v>
      </c>
      <c r="F47" s="17">
        <f t="shared" si="2"/>
        <v>1.6739999999999998E-2</v>
      </c>
      <c r="G47" s="25">
        <f t="shared" si="3"/>
        <v>-9.0000000000000019E-4</v>
      </c>
      <c r="H47" s="25">
        <f t="shared" si="4"/>
        <v>1.9349999999999997E-3</v>
      </c>
      <c r="I47" s="25">
        <f t="shared" si="5"/>
        <v>1.1805E-2</v>
      </c>
      <c r="J47" s="26">
        <f t="shared" si="7"/>
        <v>-26.100000000000005</v>
      </c>
      <c r="K47" s="26">
        <f t="shared" si="6"/>
        <v>56.114999999999988</v>
      </c>
      <c r="L47" s="26">
        <f t="shared" si="6"/>
        <v>100</v>
      </c>
      <c r="M47" s="27">
        <f t="shared" si="8"/>
        <v>-2444.3694000000005</v>
      </c>
      <c r="N47" s="27">
        <f t="shared" si="9"/>
        <v>2872.1340449999993</v>
      </c>
      <c r="O47" s="27">
        <f t="shared" si="10"/>
        <v>5118.3</v>
      </c>
      <c r="P47" s="27">
        <f t="shared" si="11"/>
        <v>-28381.5</v>
      </c>
      <c r="Q47" s="27">
        <f t="shared" si="12"/>
        <v>-22835.435355000001</v>
      </c>
      <c r="R47" s="27">
        <f t="shared" si="13"/>
        <v>-116446.22700975001</v>
      </c>
      <c r="S47" s="16">
        <v>1</v>
      </c>
      <c r="T47" s="27">
        <f t="shared" si="14"/>
        <v>-22835.435355000001</v>
      </c>
      <c r="U47" s="27">
        <f t="shared" si="15"/>
        <v>-116446.22700975001</v>
      </c>
    </row>
    <row r="48" spans="1:24">
      <c r="B48" s="22">
        <v>0.55000000000000004</v>
      </c>
      <c r="C48" s="23">
        <f t="shared" si="0"/>
        <v>23.571428571428573</v>
      </c>
      <c r="D48" s="29">
        <f t="shared" si="16"/>
        <v>0.16717325227963528</v>
      </c>
      <c r="E48" s="25">
        <f t="shared" si="1"/>
        <v>-1.2727272727272725E-4</v>
      </c>
      <c r="F48" s="17">
        <f t="shared" si="2"/>
        <v>1.4945454545454543E-2</v>
      </c>
      <c r="G48" s="25">
        <f t="shared" si="3"/>
        <v>-1.090909090909091E-3</v>
      </c>
      <c r="H48" s="25">
        <f t="shared" si="4"/>
        <v>1.4863636363636359E-3</v>
      </c>
      <c r="I48" s="25">
        <f t="shared" si="5"/>
        <v>1.0459090909090907E-2</v>
      </c>
      <c r="J48" s="26">
        <f t="shared" si="7"/>
        <v>-31.636363636363637</v>
      </c>
      <c r="K48" s="26">
        <f t="shared" si="6"/>
        <v>43.104545454545445</v>
      </c>
      <c r="L48" s="26">
        <f t="shared" si="6"/>
        <v>100</v>
      </c>
      <c r="M48" s="27">
        <f t="shared" si="8"/>
        <v>-2962.8719999999998</v>
      </c>
      <c r="N48" s="27">
        <f t="shared" si="9"/>
        <v>2206.2199499999997</v>
      </c>
      <c r="O48" s="27">
        <f t="shared" si="10"/>
        <v>5118.3</v>
      </c>
      <c r="P48" s="27">
        <f t="shared" si="11"/>
        <v>-31219.65</v>
      </c>
      <c r="Q48" s="27">
        <f t="shared" si="12"/>
        <v>-26858.002050000003</v>
      </c>
      <c r="R48" s="27">
        <f t="shared" si="13"/>
        <v>-124860.72854750002</v>
      </c>
      <c r="S48" s="16">
        <v>1</v>
      </c>
      <c r="T48" s="27">
        <f t="shared" si="14"/>
        <v>-26858.002050000003</v>
      </c>
      <c r="U48" s="27">
        <f t="shared" si="15"/>
        <v>-124860.72854750002</v>
      </c>
      <c r="W48" s="47">
        <f>T44</f>
        <v>-9630.4499999999989</v>
      </c>
      <c r="X48" s="47">
        <f>U44</f>
        <v>-86746.465000000011</v>
      </c>
    </row>
    <row r="49" spans="1:24">
      <c r="B49" s="22">
        <v>0.6</v>
      </c>
      <c r="C49" s="23">
        <f t="shared" si="0"/>
        <v>25.714285714285715</v>
      </c>
      <c r="D49" s="29">
        <f t="shared" si="16"/>
        <v>0.18237082066869301</v>
      </c>
      <c r="E49" s="25">
        <f t="shared" si="1"/>
        <v>-1.1666666666666667E-4</v>
      </c>
      <c r="F49" s="17">
        <f t="shared" si="2"/>
        <v>1.3449999999999998E-2</v>
      </c>
      <c r="G49" s="25">
        <f t="shared" si="3"/>
        <v>-1.25E-3</v>
      </c>
      <c r="H49" s="25">
        <f t="shared" si="4"/>
        <v>1.1124999999999998E-3</v>
      </c>
      <c r="I49" s="25">
        <f t="shared" si="5"/>
        <v>9.3374999999999986E-3</v>
      </c>
      <c r="J49" s="26">
        <f t="shared" si="7"/>
        <v>-36.25</v>
      </c>
      <c r="K49" s="26">
        <f t="shared" si="6"/>
        <v>32.262499999999996</v>
      </c>
      <c r="L49" s="26">
        <f t="shared" si="6"/>
        <v>100</v>
      </c>
      <c r="M49" s="27">
        <f t="shared" si="8"/>
        <v>-3394.9575</v>
      </c>
      <c r="N49" s="27">
        <f t="shared" si="9"/>
        <v>1651.2915374999998</v>
      </c>
      <c r="O49" s="27">
        <f t="shared" si="10"/>
        <v>5118.3</v>
      </c>
      <c r="P49" s="27">
        <f t="shared" si="11"/>
        <v>-34057.800000000003</v>
      </c>
      <c r="Q49" s="27">
        <f t="shared" si="12"/>
        <v>-30683.165962500003</v>
      </c>
      <c r="R49" s="27">
        <f t="shared" si="13"/>
        <v>-132630.96712062502</v>
      </c>
      <c r="S49" s="16">
        <v>1</v>
      </c>
      <c r="T49" s="27">
        <f t="shared" si="14"/>
        <v>-30683.165962500003</v>
      </c>
      <c r="U49" s="27">
        <f t="shared" si="15"/>
        <v>-132630.96712062502</v>
      </c>
      <c r="W49" s="34">
        <v>-13858</v>
      </c>
      <c r="X49" s="67">
        <f>X48+((X48-X50)/(W48-W50))*(W49-W48)</f>
        <v>-97142.023540048758</v>
      </c>
    </row>
    <row r="50" spans="1:24">
      <c r="B50" s="22">
        <v>0.65</v>
      </c>
      <c r="C50" s="23">
        <f t="shared" si="0"/>
        <v>27.857142857142861</v>
      </c>
      <c r="D50" s="29">
        <f t="shared" si="16"/>
        <v>0.19756838905775079</v>
      </c>
      <c r="E50" s="25">
        <f t="shared" si="1"/>
        <v>-1.0769230769230768E-4</v>
      </c>
      <c r="F50" s="17">
        <f t="shared" si="2"/>
        <v>1.2184615384615382E-2</v>
      </c>
      <c r="G50" s="25">
        <f t="shared" si="3"/>
        <v>-1.384615384615385E-3</v>
      </c>
      <c r="H50" s="25">
        <f t="shared" si="4"/>
        <v>7.9615384615384563E-4</v>
      </c>
      <c r="I50" s="25">
        <f t="shared" si="5"/>
        <v>8.3884615384615373E-3</v>
      </c>
      <c r="J50" s="26">
        <f t="shared" si="7"/>
        <v>-40.15384615384616</v>
      </c>
      <c r="K50" s="26">
        <f t="shared" si="6"/>
        <v>23.088461538461523</v>
      </c>
      <c r="L50" s="26">
        <f t="shared" si="6"/>
        <v>100</v>
      </c>
      <c r="M50" s="27">
        <f t="shared" si="8"/>
        <v>-3760.5683076923083</v>
      </c>
      <c r="N50" s="27">
        <f t="shared" si="9"/>
        <v>1181.736726923076</v>
      </c>
      <c r="O50" s="27">
        <f t="shared" si="10"/>
        <v>5118.3</v>
      </c>
      <c r="P50" s="27">
        <f t="shared" si="11"/>
        <v>-36895.950000000004</v>
      </c>
      <c r="Q50" s="27">
        <f t="shared" si="12"/>
        <v>-34356.481580769236</v>
      </c>
      <c r="R50" s="27">
        <f t="shared" si="13"/>
        <v>-139823.74908634616</v>
      </c>
      <c r="S50" s="16">
        <v>1</v>
      </c>
      <c r="T50" s="27">
        <f t="shared" si="14"/>
        <v>-34356.481580769236</v>
      </c>
      <c r="U50" s="27">
        <f t="shared" si="15"/>
        <v>-139823.74908634616</v>
      </c>
      <c r="W50" s="47">
        <f>T45</f>
        <v>-13901.989443750008</v>
      </c>
      <c r="X50" s="47">
        <f>U45</f>
        <v>-97250.193718437513</v>
      </c>
    </row>
    <row r="51" spans="1:24">
      <c r="B51" s="22">
        <v>0.7</v>
      </c>
      <c r="C51" s="23">
        <f t="shared" si="0"/>
        <v>30</v>
      </c>
      <c r="D51" s="29">
        <f t="shared" si="16"/>
        <v>0.21276595744680851</v>
      </c>
      <c r="E51" s="25">
        <f t="shared" si="1"/>
        <v>-1E-4</v>
      </c>
      <c r="F51" s="17">
        <f t="shared" si="2"/>
        <v>1.11E-2</v>
      </c>
      <c r="G51" s="25">
        <f t="shared" si="3"/>
        <v>-1.5E-3</v>
      </c>
      <c r="H51" s="25">
        <f t="shared" si="4"/>
        <v>5.2500000000000008E-4</v>
      </c>
      <c r="I51" s="25">
        <f t="shared" si="5"/>
        <v>7.5750000000000001E-3</v>
      </c>
      <c r="J51" s="26">
        <f t="shared" si="7"/>
        <v>-43.5</v>
      </c>
      <c r="K51" s="26">
        <f t="shared" si="6"/>
        <v>15.225000000000001</v>
      </c>
      <c r="L51" s="26">
        <f t="shared" si="6"/>
        <v>100</v>
      </c>
      <c r="M51" s="27">
        <f t="shared" si="8"/>
        <v>-4073.9489999999996</v>
      </c>
      <c r="N51" s="27">
        <f t="shared" si="9"/>
        <v>779.26117500000009</v>
      </c>
      <c r="O51" s="27">
        <f t="shared" si="10"/>
        <v>5118.3</v>
      </c>
      <c r="P51" s="27">
        <f t="shared" si="11"/>
        <v>-39734.1</v>
      </c>
      <c r="Q51" s="27">
        <f t="shared" si="12"/>
        <v>-37910.487824999997</v>
      </c>
      <c r="R51" s="27">
        <f t="shared" si="13"/>
        <v>-146486.79327125</v>
      </c>
      <c r="S51" s="16">
        <v>1</v>
      </c>
      <c r="T51" s="27">
        <f t="shared" si="14"/>
        <v>-37910.487824999997</v>
      </c>
      <c r="U51" s="27">
        <f t="shared" si="15"/>
        <v>-146486.79327125</v>
      </c>
      <c r="W51" s="34"/>
      <c r="X51" s="34"/>
    </row>
    <row r="52" spans="1:24">
      <c r="B52" s="22">
        <v>0.75</v>
      </c>
      <c r="C52" s="23">
        <f t="shared" si="0"/>
        <v>32.142857142857139</v>
      </c>
      <c r="D52" s="29">
        <f t="shared" si="16"/>
        <v>0.22796352583586624</v>
      </c>
      <c r="E52" s="25">
        <f t="shared" si="1"/>
        <v>-9.3333333333333343E-5</v>
      </c>
      <c r="F52" s="17">
        <f t="shared" si="2"/>
        <v>1.0160000000000001E-2</v>
      </c>
      <c r="G52" s="25">
        <f t="shared" si="3"/>
        <v>-1.5999999999999999E-3</v>
      </c>
      <c r="H52" s="25">
        <f t="shared" si="4"/>
        <v>2.9000000000000044E-4</v>
      </c>
      <c r="I52" s="25">
        <f t="shared" si="5"/>
        <v>6.8700000000000011E-3</v>
      </c>
      <c r="J52" s="26">
        <f t="shared" si="7"/>
        <v>-46.4</v>
      </c>
      <c r="K52" s="26">
        <f t="shared" si="6"/>
        <v>8.4100000000000126</v>
      </c>
      <c r="L52" s="26">
        <f t="shared" si="6"/>
        <v>100</v>
      </c>
      <c r="M52" s="27">
        <f t="shared" si="8"/>
        <v>-4345.5455999999995</v>
      </c>
      <c r="N52" s="27">
        <f t="shared" si="9"/>
        <v>430.44903000000062</v>
      </c>
      <c r="O52" s="27">
        <f t="shared" si="10"/>
        <v>5118.3</v>
      </c>
      <c r="P52" s="27">
        <f t="shared" si="11"/>
        <v>-42572.249999999993</v>
      </c>
      <c r="Q52" s="27">
        <f t="shared" si="12"/>
        <v>-41369.046569999991</v>
      </c>
      <c r="R52" s="27">
        <f t="shared" si="13"/>
        <v>-152655.09348149999</v>
      </c>
      <c r="S52" s="16">
        <v>1</v>
      </c>
      <c r="T52" s="27">
        <f t="shared" si="14"/>
        <v>-41369.046569999991</v>
      </c>
      <c r="U52" s="27">
        <f t="shared" si="15"/>
        <v>-152655.09348149999</v>
      </c>
      <c r="W52" s="47">
        <f>T45</f>
        <v>-13901.989443750008</v>
      </c>
      <c r="X52" s="47">
        <f>U45</f>
        <v>-97250.193718437513</v>
      </c>
    </row>
    <row r="53" spans="1:24">
      <c r="B53" s="22">
        <v>0.8</v>
      </c>
      <c r="C53" s="23">
        <f t="shared" si="0"/>
        <v>34.285714285714292</v>
      </c>
      <c r="D53" s="29">
        <f t="shared" si="16"/>
        <v>0.24316109422492405</v>
      </c>
      <c r="E53" s="25">
        <f t="shared" si="1"/>
        <v>-8.7499999999999986E-5</v>
      </c>
      <c r="F53" s="17">
        <f t="shared" si="2"/>
        <v>9.3374999999999986E-3</v>
      </c>
      <c r="G53" s="25">
        <f t="shared" si="3"/>
        <v>-1.6875000000000002E-3</v>
      </c>
      <c r="H53" s="25">
        <f t="shared" si="4"/>
        <v>8.4374999999999449E-5</v>
      </c>
      <c r="I53" s="25">
        <f t="shared" si="5"/>
        <v>6.2531249999999983E-3</v>
      </c>
      <c r="J53" s="26">
        <f t="shared" si="7"/>
        <v>-48.937500000000007</v>
      </c>
      <c r="K53" s="26">
        <f t="shared" si="6"/>
        <v>2.4468749999999839</v>
      </c>
      <c r="L53" s="26">
        <f t="shared" si="6"/>
        <v>100</v>
      </c>
      <c r="M53" s="27">
        <f t="shared" si="8"/>
        <v>-4583.1926250000006</v>
      </c>
      <c r="N53" s="27">
        <f t="shared" si="9"/>
        <v>125.23840312499918</v>
      </c>
      <c r="O53" s="27">
        <f t="shared" si="10"/>
        <v>5118.3</v>
      </c>
      <c r="P53" s="27">
        <f t="shared" si="11"/>
        <v>-45410.400000000009</v>
      </c>
      <c r="Q53" s="27">
        <f t="shared" si="12"/>
        <v>-44750.054221875012</v>
      </c>
      <c r="R53" s="27">
        <f t="shared" si="13"/>
        <v>-158354.89507171881</v>
      </c>
      <c r="S53" s="16">
        <v>1</v>
      </c>
      <c r="T53" s="27">
        <f t="shared" si="14"/>
        <v>-44750.054221875012</v>
      </c>
      <c r="U53" s="27">
        <f t="shared" si="15"/>
        <v>-158354.89507171881</v>
      </c>
      <c r="W53" s="34">
        <v>-19139</v>
      </c>
      <c r="X53" s="47">
        <f>X52+((X52-X54)/(W52-W54))*(W53-W52)</f>
        <v>-108564.15532551953</v>
      </c>
    </row>
    <row r="54" spans="1:24">
      <c r="B54" s="22">
        <v>0.85</v>
      </c>
      <c r="C54" s="23">
        <f t="shared" si="0"/>
        <v>36.428571428571431</v>
      </c>
      <c r="D54" s="29">
        <f t="shared" si="16"/>
        <v>0.25835866261398177</v>
      </c>
      <c r="E54" s="25">
        <f t="shared" si="1"/>
        <v>-8.2352941176470581E-5</v>
      </c>
      <c r="F54" s="17">
        <f t="shared" si="2"/>
        <v>8.6117647058823518E-3</v>
      </c>
      <c r="G54" s="25">
        <f t="shared" si="3"/>
        <v>-1.7647058823529412E-3</v>
      </c>
      <c r="H54" s="25">
        <f t="shared" si="4"/>
        <v>-9.7058823529411919E-5</v>
      </c>
      <c r="I54" s="25">
        <f t="shared" si="5"/>
        <v>5.7088235294117644E-3</v>
      </c>
      <c r="J54" s="26">
        <f t="shared" si="7"/>
        <v>-51.176470588235297</v>
      </c>
      <c r="K54" s="26">
        <f t="shared" si="6"/>
        <v>-2.8147058823529458</v>
      </c>
      <c r="L54" s="26">
        <f t="shared" si="6"/>
        <v>100</v>
      </c>
      <c r="M54" s="27">
        <f t="shared" si="8"/>
        <v>-4792.8811764705879</v>
      </c>
      <c r="N54" s="27">
        <f t="shared" si="9"/>
        <v>-144.06509117647082</v>
      </c>
      <c r="O54" s="27">
        <f t="shared" si="10"/>
        <v>5118.3</v>
      </c>
      <c r="P54" s="27">
        <f t="shared" si="11"/>
        <v>-48248.55</v>
      </c>
      <c r="Q54" s="27">
        <f t="shared" si="12"/>
        <v>-48067.196267647058</v>
      </c>
      <c r="R54" s="27">
        <f t="shared" si="13"/>
        <v>-163606.26801897062</v>
      </c>
      <c r="S54" s="16">
        <v>1</v>
      </c>
      <c r="T54" s="27">
        <f t="shared" si="14"/>
        <v>-48067.196267647058</v>
      </c>
      <c r="U54" s="27">
        <f t="shared" si="15"/>
        <v>-163606.26801897062</v>
      </c>
      <c r="W54" s="47">
        <f>T46</f>
        <v>-18549.664950000006</v>
      </c>
      <c r="X54" s="47">
        <f>U46</f>
        <v>-107290.96443583338</v>
      </c>
    </row>
    <row r="55" spans="1:24">
      <c r="B55" s="22">
        <v>0.9</v>
      </c>
      <c r="C55" s="23">
        <f t="shared" si="0"/>
        <v>38.571428571428577</v>
      </c>
      <c r="D55" s="29">
        <f>C55/$D$11</f>
        <v>0.27355623100303955</v>
      </c>
      <c r="E55" s="25">
        <f t="shared" si="1"/>
        <v>-7.7777777777777768E-5</v>
      </c>
      <c r="F55" s="17">
        <f t="shared" si="2"/>
        <v>7.9666666666666653E-3</v>
      </c>
      <c r="G55" s="25">
        <f t="shared" si="3"/>
        <v>-1.8333333333333335E-3</v>
      </c>
      <c r="H55" s="25">
        <f t="shared" si="4"/>
        <v>-2.5833333333333372E-4</v>
      </c>
      <c r="I55" s="25">
        <f t="shared" si="5"/>
        <v>5.2249999999999987E-3</v>
      </c>
      <c r="J55" s="26">
        <f t="shared" si="7"/>
        <v>-53.166666666666671</v>
      </c>
      <c r="K55" s="26">
        <f t="shared" si="6"/>
        <v>-7.4916666666666778</v>
      </c>
      <c r="L55" s="26">
        <f t="shared" si="6"/>
        <v>100</v>
      </c>
      <c r="M55" s="27">
        <f t="shared" si="8"/>
        <v>-4979.2710000000006</v>
      </c>
      <c r="N55" s="27">
        <f t="shared" si="9"/>
        <v>-383.44597500000054</v>
      </c>
      <c r="O55" s="27">
        <f t="shared" si="10"/>
        <v>5118.3</v>
      </c>
      <c r="P55" s="27">
        <f t="shared" si="11"/>
        <v>-51086.700000000012</v>
      </c>
      <c r="Q55" s="27">
        <f t="shared" si="12"/>
        <v>-51331.116975000012</v>
      </c>
      <c r="R55" s="27">
        <f t="shared" si="13"/>
        <v>-168424.82230541672</v>
      </c>
      <c r="S55" s="16">
        <v>1</v>
      </c>
      <c r="T55" s="27">
        <f t="shared" si="14"/>
        <v>-51331.116975000012</v>
      </c>
      <c r="U55" s="27">
        <f t="shared" si="15"/>
        <v>-168424.82230541672</v>
      </c>
    </row>
    <row r="57" spans="1:24">
      <c r="B57" s="18" t="s">
        <v>43</v>
      </c>
      <c r="C57" s="18" t="s">
        <v>37</v>
      </c>
      <c r="D57" s="18" t="s">
        <v>47</v>
      </c>
      <c r="E57" s="19" t="s">
        <v>19</v>
      </c>
      <c r="F57" s="19" t="s">
        <v>20</v>
      </c>
      <c r="G57" s="19" t="s">
        <v>21</v>
      </c>
      <c r="H57" s="19" t="s">
        <v>22</v>
      </c>
      <c r="I57" s="19" t="s">
        <v>23</v>
      </c>
      <c r="J57" s="19" t="s">
        <v>24</v>
      </c>
      <c r="K57" s="19" t="s">
        <v>25</v>
      </c>
      <c r="L57" s="19" t="s">
        <v>26</v>
      </c>
      <c r="M57" s="19" t="s">
        <v>27</v>
      </c>
      <c r="N57" s="19" t="s">
        <v>28</v>
      </c>
      <c r="O57" s="19" t="s">
        <v>29</v>
      </c>
      <c r="P57" s="19" t="s">
        <v>30</v>
      </c>
      <c r="Q57" s="19" t="s">
        <v>31</v>
      </c>
      <c r="R57" s="19" t="s">
        <v>32</v>
      </c>
      <c r="S57" s="19" t="s">
        <v>33</v>
      </c>
      <c r="T57" s="19"/>
      <c r="U57" s="19"/>
    </row>
    <row r="58" spans="1:24">
      <c r="C58" s="21" t="s">
        <v>14</v>
      </c>
      <c r="D58" s="21"/>
      <c r="E58" s="21" t="s">
        <v>39</v>
      </c>
      <c r="F58" s="20"/>
      <c r="G58" s="20"/>
      <c r="H58" s="20"/>
      <c r="I58" s="20"/>
      <c r="J58" s="21" t="s">
        <v>13</v>
      </c>
      <c r="K58" s="21" t="s">
        <v>13</v>
      </c>
      <c r="L58" s="21" t="s">
        <v>13</v>
      </c>
      <c r="M58" s="21" t="s">
        <v>41</v>
      </c>
      <c r="N58" s="21" t="s">
        <v>41</v>
      </c>
      <c r="O58" s="21" t="s">
        <v>41</v>
      </c>
      <c r="P58" s="21" t="s">
        <v>41</v>
      </c>
      <c r="Q58" s="21" t="s">
        <v>41</v>
      </c>
      <c r="R58" s="21" t="s">
        <v>42</v>
      </c>
      <c r="S58" s="21"/>
      <c r="T58" s="21"/>
      <c r="U58" s="21"/>
    </row>
    <row r="59" spans="1:24">
      <c r="A59" s="15" t="s">
        <v>44</v>
      </c>
      <c r="B59" s="22"/>
      <c r="C59" s="23"/>
      <c r="D59" s="23"/>
      <c r="E59" s="24"/>
      <c r="F59" s="17"/>
      <c r="G59" s="25"/>
      <c r="H59" s="25"/>
      <c r="I59" s="25"/>
      <c r="J59" s="26"/>
      <c r="K59" s="26"/>
      <c r="L59" s="26"/>
      <c r="M59" s="27"/>
      <c r="N59" s="27"/>
      <c r="O59" s="27"/>
      <c r="P59" s="27"/>
      <c r="Q59" s="27"/>
      <c r="R59" s="27"/>
      <c r="S59" s="16"/>
      <c r="T59" s="27"/>
      <c r="U59" s="27"/>
    </row>
    <row r="60" spans="1:24">
      <c r="B60" s="22">
        <v>1.0000000000000001E-5</v>
      </c>
      <c r="C60" s="30">
        <f>B60/$D$16*($D$11-$D$14)</f>
        <v>1.5857142857142858E-3</v>
      </c>
      <c r="D60" s="29">
        <f>C60/$D$11</f>
        <v>1.1246200607902737E-5</v>
      </c>
      <c r="E60" s="24">
        <f>-0.003/C60</f>
        <v>-1.8918918918918919</v>
      </c>
      <c r="F60" s="17">
        <f>E60*(C60-$D$11)</f>
        <v>266.75375675675679</v>
      </c>
      <c r="G60" s="25">
        <f>E60*(C60-$D$11+$D$21)</f>
        <v>238.37537837837837</v>
      </c>
      <c r="H60" s="25">
        <f>E60*(C60-$D$11+$D$22)</f>
        <v>200.06456756756756</v>
      </c>
      <c r="I60" s="25">
        <f>E60*(C60-$D$11+$D$23)</f>
        <v>66.686189189189193</v>
      </c>
      <c r="J60" s="26">
        <f>SIGN(G60)*MIN($D$9*ABS(G60),$D$7)</f>
        <v>100</v>
      </c>
      <c r="K60" s="26">
        <f>SIGN(H60)*MIN($D$9*ABS(H60),$D$7)</f>
        <v>100</v>
      </c>
      <c r="L60" s="26">
        <f>SIGN(I60)*MIN($D$9*ABS(I60),$D$7)</f>
        <v>100</v>
      </c>
      <c r="M60" s="27">
        <f>J60*$D$27</f>
        <v>9365.4</v>
      </c>
      <c r="N60" s="27">
        <f>K60*$D$28*2</f>
        <v>5118.3</v>
      </c>
      <c r="O60" s="27">
        <f>L60*$D$29*2</f>
        <v>5118.3</v>
      </c>
      <c r="P60" s="9">
        <f>$D$16*C60*2*$D$13*(-0.85*$D$6)</f>
        <v>-0.39626999999999996</v>
      </c>
      <c r="Q60" s="27">
        <f>SUM(M60:P60)</f>
        <v>19601.603729999999</v>
      </c>
      <c r="R60" s="27">
        <f>(P60*(-$D$11+$D$19+$D$16*C60/2)+M60*($D$19-$D$21)+N60*($D$19-$D$22)+O60*($D$19-$D$23))/12</f>
        <v>3.2037145475139064</v>
      </c>
      <c r="S60" s="16">
        <v>1</v>
      </c>
      <c r="T60" s="27">
        <f>Q60*S60</f>
        <v>19601.603729999999</v>
      </c>
      <c r="U60" s="27">
        <f>R60*S60</f>
        <v>3.2037145475139064</v>
      </c>
    </row>
    <row r="61" spans="1:24">
      <c r="B61" s="22">
        <v>0.05</v>
      </c>
      <c r="C61" s="26">
        <f t="shared" ref="C61:C78" si="17">B61/$D$16*($D$11-$D$14)</f>
        <v>7.9285714285714297</v>
      </c>
      <c r="D61" s="31">
        <f t="shared" ref="D61:D78" si="18">C61/$D$11</f>
        <v>5.6231003039513686E-2</v>
      </c>
      <c r="E61" s="24">
        <f t="shared" ref="E61:E78" si="19">-0.003/C61</f>
        <v>-3.7837837837837834E-4</v>
      </c>
      <c r="F61" s="17">
        <f t="shared" ref="F61:F78" si="20">E61*(C61-$D$11)</f>
        <v>5.0351351351351353E-2</v>
      </c>
      <c r="G61" s="25">
        <f t="shared" ref="G61:G78" si="21">E61*(C61-$D$11+$D$21)</f>
        <v>4.4675675675675673E-2</v>
      </c>
      <c r="H61" s="25">
        <f t="shared" ref="H61:H78" si="22">E61*(C61-$D$11+$D$22)</f>
        <v>3.7013513513513514E-2</v>
      </c>
      <c r="I61" s="25">
        <f t="shared" ref="I61:I78" si="23">E61*(C61-$D$11+$D$23)</f>
        <v>1.0337837837837842E-2</v>
      </c>
      <c r="J61" s="26">
        <f t="shared" ref="J61:L78" si="24">SIGN(G61)*MIN($D$9*ABS(G61),$D$7)</f>
        <v>100</v>
      </c>
      <c r="K61" s="26">
        <f t="shared" si="24"/>
        <v>100</v>
      </c>
      <c r="L61" s="26">
        <f t="shared" si="24"/>
        <v>100</v>
      </c>
      <c r="M61" s="27">
        <f t="shared" ref="M61:M78" si="25">J61*$D$27</f>
        <v>9365.4</v>
      </c>
      <c r="N61" s="27">
        <f t="shared" ref="N61:N78" si="26">K61*$D$28*2</f>
        <v>5118.3</v>
      </c>
      <c r="O61" s="27">
        <f t="shared" ref="O61:O78" si="27">L61*$D$29*2</f>
        <v>5118.3</v>
      </c>
      <c r="P61" s="9">
        <f t="shared" ref="P61:P78" si="28">$D$16*C61*2*$D$13*(-0.85*$D$6)</f>
        <v>-1981.3500000000004</v>
      </c>
      <c r="Q61" s="27">
        <f t="shared" ref="Q61:Q78" si="29">SUM(M61:P61)</f>
        <v>17620.650000000001</v>
      </c>
      <c r="R61" s="27">
        <f t="shared" ref="R61:R78" si="30">(P61*(-$D$11+$D$19+$D$16*C61/2)+M61*($D$19-$D$21)+N61*($D$19-$D$22)+O61*($D$19-$D$23))/12</f>
        <v>15560.477187500001</v>
      </c>
      <c r="S61" s="16">
        <v>1</v>
      </c>
      <c r="T61" s="27">
        <f t="shared" ref="T61:T78" si="31">Q61*S61</f>
        <v>17620.650000000001</v>
      </c>
      <c r="U61" s="27">
        <f t="shared" ref="U61:U78" si="32">R61*S61</f>
        <v>15560.477187500001</v>
      </c>
    </row>
    <row r="62" spans="1:24">
      <c r="B62" s="22">
        <v>9.9900000000000003E-2</v>
      </c>
      <c r="C62" s="26">
        <f t="shared" si="17"/>
        <v>15.841285714285718</v>
      </c>
      <c r="D62" s="31">
        <f t="shared" si="18"/>
        <v>0.11234954407294835</v>
      </c>
      <c r="E62" s="24">
        <f t="shared" si="19"/>
        <v>-1.8937856775694609E-4</v>
      </c>
      <c r="F62" s="17">
        <f t="shared" si="20"/>
        <v>2.3702378053729399E-2</v>
      </c>
      <c r="G62" s="25">
        <f t="shared" si="21"/>
        <v>2.0861699537375208E-2</v>
      </c>
      <c r="H62" s="25">
        <f t="shared" si="22"/>
        <v>1.702678354029705E-2</v>
      </c>
      <c r="I62" s="25">
        <f t="shared" si="23"/>
        <v>3.6755945134323495E-3</v>
      </c>
      <c r="J62" s="26">
        <f t="shared" si="24"/>
        <v>100</v>
      </c>
      <c r="K62" s="26">
        <f t="shared" si="24"/>
        <v>100</v>
      </c>
      <c r="L62" s="26">
        <f t="shared" si="24"/>
        <v>100</v>
      </c>
      <c r="M62" s="27">
        <f t="shared" si="25"/>
        <v>9365.4</v>
      </c>
      <c r="N62" s="27">
        <f t="shared" si="26"/>
        <v>5118.3</v>
      </c>
      <c r="O62" s="27">
        <f t="shared" si="27"/>
        <v>5118.3</v>
      </c>
      <c r="P62" s="9">
        <f t="shared" si="28"/>
        <v>-3958.7373000000011</v>
      </c>
      <c r="Q62" s="27">
        <f t="shared" si="29"/>
        <v>15643.262699999999</v>
      </c>
      <c r="R62" s="27">
        <f t="shared" si="30"/>
        <v>30176.206336001269</v>
      </c>
      <c r="S62" s="16">
        <v>1</v>
      </c>
      <c r="T62" s="27">
        <f t="shared" si="31"/>
        <v>15643.262699999999</v>
      </c>
      <c r="U62" s="27">
        <f t="shared" si="32"/>
        <v>30176.206336001269</v>
      </c>
    </row>
    <row r="63" spans="1:24">
      <c r="B63" s="22">
        <v>0.14979999999999999</v>
      </c>
      <c r="C63" s="26">
        <f t="shared" si="17"/>
        <v>23.753999999999998</v>
      </c>
      <c r="D63" s="31">
        <f t="shared" si="18"/>
        <v>0.16846808510638298</v>
      </c>
      <c r="E63" s="24">
        <f t="shared" si="19"/>
        <v>-1.2629451881788332E-4</v>
      </c>
      <c r="F63" s="17">
        <f t="shared" si="20"/>
        <v>1.4807527153321549E-2</v>
      </c>
      <c r="G63" s="25">
        <f t="shared" si="21"/>
        <v>1.2913109371053298E-2</v>
      </c>
      <c r="H63" s="25">
        <f t="shared" si="22"/>
        <v>1.0355645364991161E-2</v>
      </c>
      <c r="I63" s="25">
        <f t="shared" si="23"/>
        <v>1.4518817883303879E-3</v>
      </c>
      <c r="J63" s="26">
        <f t="shared" si="24"/>
        <v>100</v>
      </c>
      <c r="K63" s="26">
        <f t="shared" si="24"/>
        <v>100</v>
      </c>
      <c r="L63" s="26">
        <f t="shared" si="24"/>
        <v>42.104571861581249</v>
      </c>
      <c r="M63" s="27">
        <f t="shared" si="25"/>
        <v>9365.4</v>
      </c>
      <c r="N63" s="27">
        <f t="shared" si="26"/>
        <v>5118.3</v>
      </c>
      <c r="O63" s="27">
        <f t="shared" si="27"/>
        <v>2155.038301591313</v>
      </c>
      <c r="P63" s="9">
        <f t="shared" si="28"/>
        <v>-5936.1245999999992</v>
      </c>
      <c r="Q63" s="27">
        <f t="shared" si="29"/>
        <v>10702.613701591315</v>
      </c>
      <c r="R63" s="27">
        <f t="shared" si="30"/>
        <v>59131.789405814146</v>
      </c>
      <c r="S63" s="16">
        <v>1</v>
      </c>
      <c r="T63" s="27">
        <f t="shared" si="31"/>
        <v>10702.613701591315</v>
      </c>
      <c r="U63" s="27">
        <f t="shared" si="32"/>
        <v>59131.789405814146</v>
      </c>
    </row>
    <row r="64" spans="1:24">
      <c r="B64" s="22">
        <v>0.19969999999999999</v>
      </c>
      <c r="C64" s="26">
        <f t="shared" si="17"/>
        <v>31.666714285714288</v>
      </c>
      <c r="D64" s="31">
        <f t="shared" si="18"/>
        <v>0.22458662613981764</v>
      </c>
      <c r="E64" s="24">
        <f t="shared" si="19"/>
        <v>-9.4736699644060673E-5</v>
      </c>
      <c r="F64" s="17">
        <f t="shared" si="20"/>
        <v>1.0357874649812554E-2</v>
      </c>
      <c r="G64" s="25">
        <f t="shared" si="21"/>
        <v>8.9368241551516445E-3</v>
      </c>
      <c r="H64" s="25">
        <f t="shared" si="22"/>
        <v>7.0184059873594157E-3</v>
      </c>
      <c r="I64" s="25">
        <f t="shared" si="23"/>
        <v>3.3946866245313851E-4</v>
      </c>
      <c r="J64" s="26">
        <f t="shared" si="24"/>
        <v>100</v>
      </c>
      <c r="K64" s="26">
        <f t="shared" si="24"/>
        <v>100</v>
      </c>
      <c r="L64" s="26">
        <f t="shared" si="24"/>
        <v>9.844591211141017</v>
      </c>
      <c r="M64" s="27">
        <f t="shared" si="25"/>
        <v>9365.4</v>
      </c>
      <c r="N64" s="27">
        <f t="shared" si="26"/>
        <v>5118.3</v>
      </c>
      <c r="O64" s="27">
        <f t="shared" si="27"/>
        <v>503.87571195983065</v>
      </c>
      <c r="P64" s="9">
        <f t="shared" si="28"/>
        <v>-7913.5119000000013</v>
      </c>
      <c r="Q64" s="27">
        <f t="shared" si="29"/>
        <v>7074.0638119598298</v>
      </c>
      <c r="R64" s="27">
        <f t="shared" si="30"/>
        <v>80420.99424217359</v>
      </c>
      <c r="S64" s="16">
        <v>1</v>
      </c>
      <c r="T64" s="27">
        <f t="shared" si="31"/>
        <v>7074.0638119598298</v>
      </c>
      <c r="U64" s="27">
        <f t="shared" si="32"/>
        <v>80420.99424217359</v>
      </c>
    </row>
    <row r="65" spans="1:21">
      <c r="B65" s="22">
        <v>0.24959999999999999</v>
      </c>
      <c r="C65" s="26">
        <f t="shared" si="17"/>
        <v>39.579428571428572</v>
      </c>
      <c r="D65" s="29">
        <f t="shared" si="18"/>
        <v>0.28070516717325228</v>
      </c>
      <c r="E65" s="24">
        <f t="shared" si="19"/>
        <v>-7.5796950796950792E-5</v>
      </c>
      <c r="F65" s="17">
        <f t="shared" si="20"/>
        <v>7.687370062370062E-3</v>
      </c>
      <c r="G65" s="25">
        <f t="shared" si="21"/>
        <v>6.5504158004158009E-3</v>
      </c>
      <c r="H65" s="25">
        <f t="shared" si="22"/>
        <v>5.0155275467775474E-3</v>
      </c>
      <c r="I65" s="25">
        <f t="shared" si="23"/>
        <v>-3.2815748440748389E-4</v>
      </c>
      <c r="J65" s="26">
        <f t="shared" si="24"/>
        <v>100</v>
      </c>
      <c r="K65" s="26">
        <f t="shared" si="24"/>
        <v>100</v>
      </c>
      <c r="L65" s="26">
        <f t="shared" si="24"/>
        <v>-9.5165670478170323</v>
      </c>
      <c r="M65" s="27">
        <f t="shared" si="25"/>
        <v>9365.4</v>
      </c>
      <c r="N65" s="27">
        <f t="shared" si="26"/>
        <v>5118.3</v>
      </c>
      <c r="O65" s="27">
        <f t="shared" si="27"/>
        <v>-487.08645120841919</v>
      </c>
      <c r="P65" s="9">
        <f t="shared" si="28"/>
        <v>-9890.8991999999998</v>
      </c>
      <c r="Q65" s="27">
        <f t="shared" si="29"/>
        <v>4105.7143487915819</v>
      </c>
      <c r="R65" s="27">
        <f t="shared" si="30"/>
        <v>97399.288229323356</v>
      </c>
      <c r="S65" s="16">
        <v>1</v>
      </c>
      <c r="T65" s="27">
        <f t="shared" si="31"/>
        <v>4105.7143487915819</v>
      </c>
      <c r="U65" s="27">
        <f t="shared" si="32"/>
        <v>97399.288229323356</v>
      </c>
    </row>
    <row r="66" spans="1:21">
      <c r="B66" s="22">
        <v>0.29949999999999999</v>
      </c>
      <c r="C66" s="26">
        <f t="shared" si="17"/>
        <v>47.492142857142859</v>
      </c>
      <c r="D66" s="29">
        <f t="shared" si="18"/>
        <v>0.33682370820668694</v>
      </c>
      <c r="E66" s="24">
        <f t="shared" si="19"/>
        <v>-6.3168343635789382E-5</v>
      </c>
      <c r="F66" s="17">
        <f t="shared" si="20"/>
        <v>5.9067364526463034E-3</v>
      </c>
      <c r="G66" s="25">
        <f t="shared" si="21"/>
        <v>4.9592112981094623E-3</v>
      </c>
      <c r="H66" s="25">
        <f t="shared" si="22"/>
        <v>3.6800523394847273E-3</v>
      </c>
      <c r="I66" s="25">
        <f t="shared" si="23"/>
        <v>-7.733158868384241E-4</v>
      </c>
      <c r="J66" s="26">
        <f t="shared" si="24"/>
        <v>100</v>
      </c>
      <c r="K66" s="26">
        <f t="shared" si="24"/>
        <v>100</v>
      </c>
      <c r="L66" s="26">
        <f t="shared" si="24"/>
        <v>-22.4261607183143</v>
      </c>
      <c r="M66" s="27">
        <f t="shared" si="25"/>
        <v>9365.4</v>
      </c>
      <c r="N66" s="27">
        <f t="shared" si="26"/>
        <v>5118.3</v>
      </c>
      <c r="O66" s="27">
        <f t="shared" si="27"/>
        <v>-1147.8381840454808</v>
      </c>
      <c r="P66" s="9">
        <f t="shared" si="28"/>
        <v>-11868.2865</v>
      </c>
      <c r="Q66" s="27">
        <f t="shared" si="29"/>
        <v>1467.5753159545202</v>
      </c>
      <c r="R66" s="27">
        <f t="shared" si="30"/>
        <v>111765.20320846536</v>
      </c>
      <c r="S66" s="16">
        <v>1</v>
      </c>
      <c r="T66" s="27">
        <f t="shared" si="31"/>
        <v>1467.5753159545202</v>
      </c>
      <c r="U66" s="27">
        <f t="shared" si="32"/>
        <v>111765.20320846536</v>
      </c>
    </row>
    <row r="67" spans="1:21">
      <c r="B67" s="22">
        <v>0.34939999999999999</v>
      </c>
      <c r="C67" s="26">
        <f t="shared" si="17"/>
        <v>55.404857142857146</v>
      </c>
      <c r="D67" s="29">
        <f t="shared" si="18"/>
        <v>0.39294224924012161</v>
      </c>
      <c r="E67" s="24">
        <f t="shared" si="19"/>
        <v>-5.4146877272235026E-5</v>
      </c>
      <c r="F67" s="17">
        <f t="shared" si="20"/>
        <v>4.6347096953851391E-3</v>
      </c>
      <c r="G67" s="25">
        <f t="shared" si="21"/>
        <v>3.8225065363016136E-3</v>
      </c>
      <c r="H67" s="25">
        <f t="shared" si="22"/>
        <v>2.7260322715388545E-3</v>
      </c>
      <c r="I67" s="25">
        <f t="shared" si="23"/>
        <v>-1.0913225761537151E-3</v>
      </c>
      <c r="J67" s="26">
        <f t="shared" si="24"/>
        <v>100</v>
      </c>
      <c r="K67" s="26">
        <f t="shared" si="24"/>
        <v>79.054935874626779</v>
      </c>
      <c r="L67" s="26">
        <f t="shared" si="24"/>
        <v>-31.648354708457738</v>
      </c>
      <c r="M67" s="27">
        <f t="shared" si="25"/>
        <v>9365.4</v>
      </c>
      <c r="N67" s="27">
        <f t="shared" si="26"/>
        <v>4046.2687828710223</v>
      </c>
      <c r="O67" s="27">
        <f t="shared" si="27"/>
        <v>-1619.8577390429923</v>
      </c>
      <c r="P67" s="9">
        <f t="shared" si="28"/>
        <v>-13845.6738</v>
      </c>
      <c r="Q67" s="27">
        <f t="shared" si="29"/>
        <v>-2053.8627561719713</v>
      </c>
      <c r="R67" s="27">
        <f t="shared" si="30"/>
        <v>123466.75868787519</v>
      </c>
      <c r="S67" s="16">
        <v>1</v>
      </c>
      <c r="T67" s="27">
        <f t="shared" si="31"/>
        <v>-2053.8627561719713</v>
      </c>
      <c r="U67" s="27">
        <f t="shared" si="32"/>
        <v>123466.75868787519</v>
      </c>
    </row>
    <row r="68" spans="1:21">
      <c r="B68" s="22">
        <v>0.39929999999999999</v>
      </c>
      <c r="C68" s="26">
        <f t="shared" si="17"/>
        <v>63.317571428571426</v>
      </c>
      <c r="D68" s="29">
        <f t="shared" si="18"/>
        <v>0.44906079027355622</v>
      </c>
      <c r="E68" s="24">
        <f t="shared" si="19"/>
        <v>-4.7380212669468872E-5</v>
      </c>
      <c r="F68" s="17">
        <f t="shared" si="20"/>
        <v>3.6806099863951106E-3</v>
      </c>
      <c r="G68" s="25">
        <f t="shared" si="21"/>
        <v>2.9699067963530777E-3</v>
      </c>
      <c r="H68" s="25">
        <f t="shared" si="22"/>
        <v>2.010457489796333E-3</v>
      </c>
      <c r="I68" s="25">
        <f t="shared" si="23"/>
        <v>-1.3298475034012225E-3</v>
      </c>
      <c r="J68" s="26">
        <f t="shared" si="24"/>
        <v>86.127297094239253</v>
      </c>
      <c r="K68" s="26">
        <f t="shared" si="24"/>
        <v>58.303267204093657</v>
      </c>
      <c r="L68" s="26">
        <f t="shared" si="24"/>
        <v>-38.56557759863545</v>
      </c>
      <c r="M68" s="27">
        <f t="shared" si="25"/>
        <v>8066.1658820638831</v>
      </c>
      <c r="N68" s="27">
        <f t="shared" si="26"/>
        <v>2984.1361253071254</v>
      </c>
      <c r="O68" s="27">
        <f t="shared" si="27"/>
        <v>-1973.9019582309581</v>
      </c>
      <c r="P68" s="9">
        <f t="shared" si="28"/>
        <v>-15823.061099999999</v>
      </c>
      <c r="Q68" s="27">
        <f t="shared" si="29"/>
        <v>-6746.6610508599479</v>
      </c>
      <c r="R68" s="27">
        <f t="shared" si="30"/>
        <v>130517.54901263617</v>
      </c>
      <c r="S68" s="16">
        <v>1</v>
      </c>
      <c r="T68" s="27">
        <f t="shared" si="31"/>
        <v>-6746.6610508599479</v>
      </c>
      <c r="U68" s="27">
        <f t="shared" si="32"/>
        <v>130517.54901263617</v>
      </c>
    </row>
    <row r="69" spans="1:21">
      <c r="B69" s="22">
        <v>0.44919999999999999</v>
      </c>
      <c r="C69" s="26">
        <f t="shared" si="17"/>
        <v>71.230285714285728</v>
      </c>
      <c r="D69" s="29">
        <f t="shared" si="18"/>
        <v>0.505179331306991</v>
      </c>
      <c r="E69" s="24">
        <f t="shared" si="19"/>
        <v>-4.2116916560371587E-5</v>
      </c>
      <c r="F69" s="17">
        <f t="shared" si="20"/>
        <v>2.9384852350123935E-3</v>
      </c>
      <c r="G69" s="25">
        <f t="shared" si="21"/>
        <v>2.3067314866068197E-3</v>
      </c>
      <c r="H69" s="25">
        <f t="shared" si="22"/>
        <v>1.4538639262592951E-3</v>
      </c>
      <c r="I69" s="25">
        <f t="shared" si="23"/>
        <v>-1.5153786912469019E-3</v>
      </c>
      <c r="J69" s="26">
        <f t="shared" si="24"/>
        <v>66.895213111597769</v>
      </c>
      <c r="K69" s="26">
        <f t="shared" si="24"/>
        <v>42.16205386151956</v>
      </c>
      <c r="L69" s="26">
        <f t="shared" si="24"/>
        <v>-43.945982046160154</v>
      </c>
      <c r="M69" s="27">
        <f t="shared" si="25"/>
        <v>6265.0042887535774</v>
      </c>
      <c r="N69" s="27">
        <f t="shared" si="26"/>
        <v>2157.9804027941555</v>
      </c>
      <c r="O69" s="27">
        <f t="shared" si="27"/>
        <v>-2249.2871990686153</v>
      </c>
      <c r="P69" s="9">
        <f t="shared" si="28"/>
        <v>-17800.448400000001</v>
      </c>
      <c r="Q69" s="27">
        <f t="shared" si="29"/>
        <v>-11626.750907520884</v>
      </c>
      <c r="R69" s="27">
        <f t="shared" si="30"/>
        <v>135210.19604512848</v>
      </c>
      <c r="S69" s="16">
        <v>1</v>
      </c>
      <c r="T69" s="27">
        <f t="shared" si="31"/>
        <v>-11626.750907520884</v>
      </c>
      <c r="U69" s="27">
        <f t="shared" si="32"/>
        <v>135210.19604512848</v>
      </c>
    </row>
    <row r="70" spans="1:21">
      <c r="B70" s="22">
        <v>0.49909999999999999</v>
      </c>
      <c r="C70" s="26">
        <f t="shared" si="17"/>
        <v>79.143000000000015</v>
      </c>
      <c r="D70" s="29">
        <f t="shared" si="18"/>
        <v>0.56129787234042561</v>
      </c>
      <c r="E70" s="24">
        <f t="shared" si="19"/>
        <v>-3.7906068761608724E-5</v>
      </c>
      <c r="F70" s="17">
        <f t="shared" si="20"/>
        <v>2.3447556953868302E-3</v>
      </c>
      <c r="G70" s="25">
        <f t="shared" si="21"/>
        <v>1.7761646639626995E-3</v>
      </c>
      <c r="H70" s="25">
        <f t="shared" si="22"/>
        <v>1.0085667715401228E-3</v>
      </c>
      <c r="I70" s="25">
        <f t="shared" si="23"/>
        <v>-1.6638110761532923E-3</v>
      </c>
      <c r="J70" s="26">
        <f t="shared" si="24"/>
        <v>51.508775254918284</v>
      </c>
      <c r="K70" s="26">
        <f t="shared" si="24"/>
        <v>29.248436374663562</v>
      </c>
      <c r="L70" s="26">
        <f t="shared" si="24"/>
        <v>-48.250521208445477</v>
      </c>
      <c r="M70" s="27">
        <f t="shared" si="25"/>
        <v>4824.0028377241169</v>
      </c>
      <c r="N70" s="27">
        <f t="shared" si="26"/>
        <v>1497.0227189644052</v>
      </c>
      <c r="O70" s="27">
        <f t="shared" si="27"/>
        <v>-2469.606427011865</v>
      </c>
      <c r="P70" s="9">
        <f t="shared" si="28"/>
        <v>-19777.835700000003</v>
      </c>
      <c r="Q70" s="27">
        <f t="shared" si="29"/>
        <v>-15926.416570323345</v>
      </c>
      <c r="R70" s="27">
        <f t="shared" si="30"/>
        <v>139696.80777894231</v>
      </c>
      <c r="S70" s="16">
        <v>1</v>
      </c>
      <c r="T70" s="27">
        <f t="shared" si="31"/>
        <v>-15926.416570323345</v>
      </c>
      <c r="U70" s="27">
        <f t="shared" si="32"/>
        <v>139696.80777894231</v>
      </c>
    </row>
    <row r="71" spans="1:21">
      <c r="B71" s="22">
        <v>0.54900000000000004</v>
      </c>
      <c r="C71" s="26">
        <f t="shared" si="17"/>
        <v>87.055714285714288</v>
      </c>
      <c r="D71" s="29">
        <f t="shared" si="18"/>
        <v>0.61741641337386022</v>
      </c>
      <c r="E71" s="24">
        <f t="shared" si="19"/>
        <v>-3.4460690198395119E-5</v>
      </c>
      <c r="F71" s="17">
        <f t="shared" si="20"/>
        <v>1.8589573179737114E-3</v>
      </c>
      <c r="G71" s="25">
        <f t="shared" si="21"/>
        <v>1.3420469649977848E-3</v>
      </c>
      <c r="H71" s="25">
        <f t="shared" si="22"/>
        <v>6.4421798848028351E-4</v>
      </c>
      <c r="I71" s="25">
        <f t="shared" si="23"/>
        <v>-1.7852606705065725E-3</v>
      </c>
      <c r="J71" s="26">
        <f t="shared" si="24"/>
        <v>38.919361984935755</v>
      </c>
      <c r="K71" s="26">
        <f t="shared" si="24"/>
        <v>18.682321665928221</v>
      </c>
      <c r="L71" s="26">
        <f t="shared" si="24"/>
        <v>-51.7725594446906</v>
      </c>
      <c r="M71" s="27">
        <f t="shared" si="25"/>
        <v>3644.9539273371729</v>
      </c>
      <c r="N71" s="27">
        <f t="shared" si="26"/>
        <v>956.21726982720418</v>
      </c>
      <c r="O71" s="27">
        <f t="shared" si="27"/>
        <v>-2649.8749100575988</v>
      </c>
      <c r="P71" s="9">
        <f t="shared" si="28"/>
        <v>-21755.223000000002</v>
      </c>
      <c r="Q71" s="27">
        <f t="shared" si="29"/>
        <v>-19803.926712893222</v>
      </c>
      <c r="R71" s="27">
        <f t="shared" si="30"/>
        <v>143784.68916221149</v>
      </c>
      <c r="S71" s="16">
        <v>1</v>
      </c>
      <c r="T71" s="27">
        <f t="shared" si="31"/>
        <v>-19803.926712893222</v>
      </c>
      <c r="U71" s="27">
        <f t="shared" si="32"/>
        <v>143784.68916221149</v>
      </c>
    </row>
    <row r="72" spans="1:21">
      <c r="B72" s="22">
        <v>0.59889999999999999</v>
      </c>
      <c r="C72" s="26">
        <f t="shared" si="17"/>
        <v>94.968428571428575</v>
      </c>
      <c r="D72" s="29">
        <f t="shared" si="18"/>
        <v>0.67353495440729483</v>
      </c>
      <c r="E72" s="24">
        <f t="shared" si="19"/>
        <v>-3.1589445514975652E-5</v>
      </c>
      <c r="F72" s="17">
        <f t="shared" si="20"/>
        <v>1.4541118176115669E-3</v>
      </c>
      <c r="G72" s="25">
        <f t="shared" si="21"/>
        <v>9.8027013488693224E-4</v>
      </c>
      <c r="H72" s="25">
        <f t="shared" si="22"/>
        <v>3.4058386320867521E-4</v>
      </c>
      <c r="I72" s="25">
        <f t="shared" si="23"/>
        <v>-1.8864720455971083E-3</v>
      </c>
      <c r="J72" s="26">
        <f t="shared" si="24"/>
        <v>28.427833911721034</v>
      </c>
      <c r="K72" s="26">
        <f t="shared" si="24"/>
        <v>9.8769320330515811</v>
      </c>
      <c r="L72" s="26">
        <f t="shared" si="24"/>
        <v>-54.707689322316142</v>
      </c>
      <c r="M72" s="27">
        <f t="shared" si="25"/>
        <v>2662.3803571683216</v>
      </c>
      <c r="N72" s="27">
        <f t="shared" si="26"/>
        <v>505.53101224767909</v>
      </c>
      <c r="O72" s="27">
        <f t="shared" si="27"/>
        <v>-2800.103662584107</v>
      </c>
      <c r="P72" s="9">
        <f t="shared" si="28"/>
        <v>-23732.610300000004</v>
      </c>
      <c r="Q72" s="27">
        <f t="shared" si="29"/>
        <v>-23364.802593168111</v>
      </c>
      <c r="R72" s="27">
        <f t="shared" si="30"/>
        <v>147345.3661020821</v>
      </c>
      <c r="S72" s="16">
        <v>1</v>
      </c>
      <c r="T72" s="27">
        <f t="shared" si="31"/>
        <v>-23364.802593168111</v>
      </c>
      <c r="U72" s="27">
        <f t="shared" si="32"/>
        <v>147345.3661020821</v>
      </c>
    </row>
    <row r="73" spans="1:21">
      <c r="B73" s="22">
        <v>0.64880000000000004</v>
      </c>
      <c r="C73" s="26">
        <f t="shared" si="17"/>
        <v>102.88114285714286</v>
      </c>
      <c r="D73" s="29">
        <f t="shared" si="18"/>
        <v>0.72965349544072955</v>
      </c>
      <c r="E73" s="24">
        <f t="shared" si="19"/>
        <v>-2.9159862698703635E-5</v>
      </c>
      <c r="F73" s="17">
        <f t="shared" si="20"/>
        <v>1.1115406405172125E-3</v>
      </c>
      <c r="G73" s="25">
        <f t="shared" si="21"/>
        <v>6.7414270003665795E-4</v>
      </c>
      <c r="H73" s="25">
        <f t="shared" si="22"/>
        <v>8.3655480387909341E-5</v>
      </c>
      <c r="I73" s="25">
        <f t="shared" si="23"/>
        <v>-1.9721148398706969E-3</v>
      </c>
      <c r="J73" s="26">
        <f t="shared" si="24"/>
        <v>19.550138301063079</v>
      </c>
      <c r="K73" s="26">
        <f t="shared" si="24"/>
        <v>2.4260089312493709</v>
      </c>
      <c r="L73" s="26">
        <f t="shared" si="24"/>
        <v>-57.191330356250212</v>
      </c>
      <c r="M73" s="27">
        <f t="shared" si="25"/>
        <v>1830.9486524477616</v>
      </c>
      <c r="N73" s="27">
        <f t="shared" si="26"/>
        <v>124.17041512813655</v>
      </c>
      <c r="O73" s="27">
        <f t="shared" si="27"/>
        <v>-2927.2238616239547</v>
      </c>
      <c r="P73" s="9">
        <f t="shared" si="28"/>
        <v>-25709.997599999999</v>
      </c>
      <c r="Q73" s="27">
        <f t="shared" si="29"/>
        <v>-26682.102394048055</v>
      </c>
      <c r="R73" s="27">
        <f t="shared" si="30"/>
        <v>150289.8889029469</v>
      </c>
      <c r="S73" s="16">
        <v>1</v>
      </c>
      <c r="T73" s="27">
        <f t="shared" si="31"/>
        <v>-26682.102394048055</v>
      </c>
      <c r="U73" s="27">
        <f t="shared" si="32"/>
        <v>150289.8889029469</v>
      </c>
    </row>
    <row r="74" spans="1:21">
      <c r="B74" s="22">
        <v>0.69869999999999999</v>
      </c>
      <c r="C74" s="26">
        <f t="shared" si="17"/>
        <v>110.79385714285715</v>
      </c>
      <c r="D74" s="29">
        <f t="shared" si="18"/>
        <v>0.78577203647416416</v>
      </c>
      <c r="E74" s="24">
        <f t="shared" si="19"/>
        <v>-2.7077313466321624E-5</v>
      </c>
      <c r="F74" s="17">
        <f t="shared" si="20"/>
        <v>8.1790119875134882E-4</v>
      </c>
      <c r="G74" s="25">
        <f t="shared" si="21"/>
        <v>4.1174149675652451E-4</v>
      </c>
      <c r="H74" s="25">
        <f t="shared" si="22"/>
        <v>-1.365741009364884E-4</v>
      </c>
      <c r="I74" s="25">
        <f t="shared" si="23"/>
        <v>-2.0455247003121628E-3</v>
      </c>
      <c r="J74" s="26">
        <f t="shared" si="24"/>
        <v>11.940503405939211</v>
      </c>
      <c r="K74" s="26">
        <f t="shared" si="24"/>
        <v>-3.9606489271581635</v>
      </c>
      <c r="L74" s="26">
        <f t="shared" si="24"/>
        <v>-59.320216309052725</v>
      </c>
      <c r="M74" s="27">
        <f t="shared" si="25"/>
        <v>1118.2759059798309</v>
      </c>
      <c r="N74" s="27">
        <f t="shared" si="26"/>
        <v>-202.71789403873629</v>
      </c>
      <c r="O74" s="27">
        <f t="shared" si="27"/>
        <v>-3036.1866313462456</v>
      </c>
      <c r="P74" s="9">
        <f t="shared" si="28"/>
        <v>-27687.384900000005</v>
      </c>
      <c r="Q74" s="27">
        <f t="shared" si="29"/>
        <v>-29808.013519405155</v>
      </c>
      <c r="R74" s="27">
        <f t="shared" si="30"/>
        <v>152554.71843058881</v>
      </c>
      <c r="S74" s="16">
        <v>1</v>
      </c>
      <c r="T74" s="27">
        <f t="shared" si="31"/>
        <v>-29808.013519405155</v>
      </c>
      <c r="U74" s="27">
        <f t="shared" si="32"/>
        <v>152554.71843058881</v>
      </c>
    </row>
    <row r="75" spans="1:21">
      <c r="B75" s="22">
        <v>0.74860000000000004</v>
      </c>
      <c r="C75" s="26">
        <f t="shared" si="17"/>
        <v>118.70657142857145</v>
      </c>
      <c r="D75" s="29">
        <f t="shared" si="18"/>
        <v>0.84189057750759899</v>
      </c>
      <c r="E75" s="24">
        <f t="shared" si="19"/>
        <v>-2.5272400372587383E-5</v>
      </c>
      <c r="F75" s="17">
        <f t="shared" si="20"/>
        <v>5.6340845253482108E-4</v>
      </c>
      <c r="G75" s="25">
        <f t="shared" si="21"/>
        <v>1.8432244694601034E-4</v>
      </c>
      <c r="H75" s="25">
        <f t="shared" si="22"/>
        <v>-3.2744366059888415E-4</v>
      </c>
      <c r="I75" s="25">
        <f t="shared" si="23"/>
        <v>-2.1091478868662948E-3</v>
      </c>
      <c r="J75" s="26">
        <f t="shared" si="24"/>
        <v>5.3453509614343</v>
      </c>
      <c r="K75" s="26">
        <f t="shared" si="24"/>
        <v>-9.4958661573676402</v>
      </c>
      <c r="L75" s="26">
        <f t="shared" si="24"/>
        <v>-61.16528871912255</v>
      </c>
      <c r="M75" s="27">
        <f t="shared" si="25"/>
        <v>500.61349894216789</v>
      </c>
      <c r="N75" s="27">
        <f t="shared" si="26"/>
        <v>-486.02691753254794</v>
      </c>
      <c r="O75" s="27">
        <f t="shared" si="27"/>
        <v>-3130.6229725108496</v>
      </c>
      <c r="P75" s="9">
        <f t="shared" si="28"/>
        <v>-29664.77220000001</v>
      </c>
      <c r="Q75" s="27">
        <f t="shared" si="29"/>
        <v>-32780.808591101239</v>
      </c>
      <c r="R75" s="27">
        <f t="shared" si="30"/>
        <v>154093.25705652082</v>
      </c>
      <c r="S75" s="16">
        <v>1</v>
      </c>
      <c r="T75" s="27">
        <f t="shared" si="31"/>
        <v>-32780.808591101239</v>
      </c>
      <c r="U75" s="27">
        <f t="shared" si="32"/>
        <v>154093.25705652082</v>
      </c>
    </row>
    <row r="76" spans="1:21">
      <c r="B76" s="22">
        <v>0.8</v>
      </c>
      <c r="C76" s="26">
        <f t="shared" si="17"/>
        <v>126.85714285714288</v>
      </c>
      <c r="D76" s="29">
        <f t="shared" si="18"/>
        <v>0.89969604863221897</v>
      </c>
      <c r="E76" s="24">
        <f t="shared" si="19"/>
        <v>-2.3648648648648646E-5</v>
      </c>
      <c r="F76" s="17">
        <f t="shared" si="20"/>
        <v>3.3445945945945898E-4</v>
      </c>
      <c r="G76" s="25">
        <f t="shared" si="21"/>
        <v>-2.02702702702707E-5</v>
      </c>
      <c r="H76" s="25">
        <f t="shared" si="22"/>
        <v>-4.9915540540540579E-4</v>
      </c>
      <c r="I76" s="25">
        <f t="shared" si="23"/>
        <v>-2.1663851351351356E-3</v>
      </c>
      <c r="J76" s="26">
        <f t="shared" si="24"/>
        <v>-0.58783783783785026</v>
      </c>
      <c r="K76" s="26">
        <f t="shared" si="24"/>
        <v>-14.475506756756769</v>
      </c>
      <c r="L76" s="26">
        <f t="shared" si="24"/>
        <v>-62.825168918918934</v>
      </c>
      <c r="M76" s="27">
        <f t="shared" si="25"/>
        <v>-55.053364864866026</v>
      </c>
      <c r="N76" s="27">
        <f t="shared" si="26"/>
        <v>-740.89986233108164</v>
      </c>
      <c r="O76" s="27">
        <f t="shared" si="27"/>
        <v>-3215.5806207770279</v>
      </c>
      <c r="P76" s="9">
        <f t="shared" si="28"/>
        <v>-31701.600000000006</v>
      </c>
      <c r="Q76" s="27">
        <f t="shared" si="29"/>
        <v>-35713.133847972982</v>
      </c>
      <c r="R76" s="27">
        <f t="shared" si="30"/>
        <v>154881.83840449748</v>
      </c>
      <c r="S76" s="16">
        <v>1</v>
      </c>
      <c r="T76" s="27">
        <f t="shared" si="31"/>
        <v>-35713.133847972982</v>
      </c>
      <c r="U76" s="27">
        <f t="shared" si="32"/>
        <v>154881.83840449748</v>
      </c>
    </row>
    <row r="77" spans="1:21">
      <c r="B77" s="22">
        <v>0.85</v>
      </c>
      <c r="C77" s="26">
        <f t="shared" si="17"/>
        <v>134.78571428571431</v>
      </c>
      <c r="D77" s="29">
        <f t="shared" si="18"/>
        <v>0.95592705167173264</v>
      </c>
      <c r="E77" s="24">
        <f t="shared" si="19"/>
        <v>-2.2257551669316373E-5</v>
      </c>
      <c r="F77" s="17">
        <f t="shared" si="20"/>
        <v>1.3831478537360844E-4</v>
      </c>
      <c r="G77" s="25">
        <f t="shared" si="21"/>
        <v>-1.9554848966613715E-4</v>
      </c>
      <c r="H77" s="25">
        <f t="shared" si="22"/>
        <v>-6.4626391096979374E-4</v>
      </c>
      <c r="I77" s="25">
        <f t="shared" si="23"/>
        <v>-2.2154213036565981E-3</v>
      </c>
      <c r="J77" s="26">
        <f t="shared" si="24"/>
        <v>-5.6709062003179778</v>
      </c>
      <c r="K77" s="26">
        <f t="shared" si="24"/>
        <v>-18.74165341812402</v>
      </c>
      <c r="L77" s="26">
        <f t="shared" si="24"/>
        <v>-64.247217806041348</v>
      </c>
      <c r="M77" s="27">
        <f t="shared" si="25"/>
        <v>-531.10304928457992</v>
      </c>
      <c r="N77" s="27">
        <f t="shared" si="26"/>
        <v>-959.25404689984168</v>
      </c>
      <c r="O77" s="27">
        <f t="shared" si="27"/>
        <v>-3288.3653489666144</v>
      </c>
      <c r="P77" s="9">
        <f t="shared" si="28"/>
        <v>-33682.950000000004</v>
      </c>
      <c r="Q77" s="27">
        <f t="shared" si="29"/>
        <v>-38461.672445151038</v>
      </c>
      <c r="R77" s="27">
        <f t="shared" si="30"/>
        <v>154846.25921526231</v>
      </c>
      <c r="S77" s="16">
        <v>1</v>
      </c>
      <c r="T77" s="27">
        <f t="shared" si="31"/>
        <v>-38461.672445151038</v>
      </c>
      <c r="U77" s="27">
        <f t="shared" si="32"/>
        <v>154846.25921526231</v>
      </c>
    </row>
    <row r="78" spans="1:21" s="10" customFormat="1">
      <c r="A78" s="45"/>
      <c r="B78" s="39">
        <v>0.9</v>
      </c>
      <c r="C78" s="40">
        <f t="shared" si="17"/>
        <v>142.71428571428572</v>
      </c>
      <c r="D78" s="31">
        <f t="shared" si="18"/>
        <v>1.0121580547112463</v>
      </c>
      <c r="E78" s="41">
        <f t="shared" si="19"/>
        <v>-2.1021021021021022E-5</v>
      </c>
      <c r="F78" s="42">
        <f t="shared" si="20"/>
        <v>-3.6036036036036207E-5</v>
      </c>
      <c r="G78" s="43">
        <f t="shared" si="21"/>
        <v>-3.5135135135135151E-4</v>
      </c>
      <c r="H78" s="43">
        <f t="shared" si="22"/>
        <v>-7.7702702702702722E-4</v>
      </c>
      <c r="I78" s="43">
        <f t="shared" si="23"/>
        <v>-2.2590090090090094E-3</v>
      </c>
      <c r="J78" s="40">
        <f t="shared" si="24"/>
        <v>-10.189189189189193</v>
      </c>
      <c r="K78" s="40">
        <f t="shared" si="24"/>
        <v>-22.53378378378379</v>
      </c>
      <c r="L78" s="40">
        <f t="shared" si="24"/>
        <v>-65.511261261261268</v>
      </c>
      <c r="M78" s="44">
        <f t="shared" si="25"/>
        <v>-954.25832432432469</v>
      </c>
      <c r="N78" s="44">
        <f t="shared" si="26"/>
        <v>-1153.3466554054057</v>
      </c>
      <c r="O78" s="44">
        <f t="shared" si="27"/>
        <v>-3353.0628851351353</v>
      </c>
      <c r="P78" s="45">
        <f t="shared" si="28"/>
        <v>-35664.300000000003</v>
      </c>
      <c r="Q78" s="44">
        <f t="shared" si="29"/>
        <v>-41124.96786486487</v>
      </c>
      <c r="R78" s="44">
        <f t="shared" si="30"/>
        <v>153998.09080399774</v>
      </c>
      <c r="S78" s="16">
        <v>1</v>
      </c>
      <c r="T78" s="44">
        <f t="shared" si="31"/>
        <v>-41124.96786486487</v>
      </c>
      <c r="U78" s="44">
        <f t="shared" si="32"/>
        <v>153998.09080399774</v>
      </c>
    </row>
    <row r="79" spans="1:21">
      <c r="B79" s="22"/>
      <c r="C79" s="26"/>
      <c r="D79" s="29"/>
      <c r="E79" s="24"/>
      <c r="F79" s="17"/>
      <c r="G79" s="25"/>
      <c r="H79" s="25"/>
      <c r="I79" s="25"/>
      <c r="J79" s="26"/>
      <c r="K79" s="26"/>
      <c r="L79" s="26"/>
      <c r="M79" s="27"/>
      <c r="N79" s="27"/>
      <c r="O79" s="27"/>
      <c r="Q79" s="27"/>
      <c r="R79" s="27"/>
    </row>
    <row r="80" spans="1:21">
      <c r="B80" s="11"/>
      <c r="D80" s="33"/>
    </row>
    <row r="81" spans="1:21">
      <c r="D81" s="26"/>
    </row>
    <row r="82" spans="1:21">
      <c r="D82" s="26"/>
    </row>
    <row r="83" spans="1:21">
      <c r="D83" s="26"/>
    </row>
    <row r="85" spans="1:21">
      <c r="B85" s="18"/>
      <c r="C85" s="18"/>
      <c r="D85" s="1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>
      <c r="B86" s="20"/>
      <c r="C86" s="21"/>
      <c r="D86" s="21"/>
      <c r="E86" s="21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>
      <c r="A87" s="15"/>
      <c r="B87" s="22"/>
      <c r="C87" s="23"/>
      <c r="D87" s="23"/>
      <c r="E87" s="24"/>
      <c r="F87" s="17"/>
      <c r="G87" s="25"/>
      <c r="H87" s="25"/>
      <c r="I87" s="25"/>
      <c r="J87" s="26"/>
      <c r="K87" s="26"/>
      <c r="L87" s="26"/>
      <c r="M87" s="27"/>
      <c r="N87" s="27"/>
      <c r="O87" s="27"/>
      <c r="P87" s="27"/>
      <c r="Q87" s="27"/>
      <c r="R87" s="27"/>
      <c r="S87" s="16"/>
      <c r="T87" s="27"/>
      <c r="U87" s="27"/>
    </row>
    <row r="88" spans="1:21">
      <c r="B88" s="22"/>
      <c r="C88" s="23"/>
      <c r="D88" s="29"/>
      <c r="E88" s="24"/>
      <c r="F88" s="17"/>
      <c r="G88" s="25"/>
      <c r="H88" s="25"/>
      <c r="I88" s="25"/>
      <c r="J88" s="26"/>
      <c r="K88" s="26"/>
      <c r="L88" s="26"/>
      <c r="M88" s="27"/>
      <c r="N88" s="27"/>
      <c r="O88" s="27"/>
      <c r="P88" s="27"/>
      <c r="Q88" s="27"/>
      <c r="R88" s="27"/>
      <c r="S88" s="16"/>
      <c r="T88" s="27"/>
      <c r="U88" s="27"/>
    </row>
    <row r="89" spans="1:21">
      <c r="B89" s="22"/>
      <c r="C89" s="23"/>
      <c r="D89" s="29"/>
      <c r="E89" s="24"/>
      <c r="F89" s="17"/>
      <c r="G89" s="25"/>
      <c r="H89" s="25"/>
      <c r="I89" s="25"/>
      <c r="J89" s="26"/>
      <c r="K89" s="26"/>
      <c r="L89" s="26"/>
      <c r="M89" s="27"/>
      <c r="N89" s="27"/>
      <c r="O89" s="27"/>
      <c r="P89" s="27"/>
      <c r="Q89" s="27"/>
      <c r="R89" s="27"/>
      <c r="S89" s="16"/>
      <c r="T89" s="27"/>
      <c r="U89" s="27"/>
    </row>
    <row r="90" spans="1:21">
      <c r="B90" s="22"/>
      <c r="C90" s="23"/>
      <c r="D90" s="29"/>
      <c r="E90" s="24"/>
      <c r="F90" s="17"/>
      <c r="G90" s="25"/>
      <c r="H90" s="25"/>
      <c r="I90" s="25"/>
      <c r="J90" s="26"/>
      <c r="K90" s="26"/>
      <c r="L90" s="26"/>
      <c r="M90" s="27"/>
      <c r="N90" s="27"/>
      <c r="O90" s="27"/>
      <c r="P90" s="27"/>
      <c r="Q90" s="27"/>
      <c r="R90" s="27"/>
      <c r="S90" s="16"/>
      <c r="T90" s="27"/>
      <c r="U90" s="27"/>
    </row>
    <row r="91" spans="1:21">
      <c r="B91" s="22"/>
      <c r="C91" s="23"/>
      <c r="D91" s="29"/>
      <c r="E91" s="24"/>
      <c r="F91" s="17"/>
      <c r="G91" s="25"/>
      <c r="H91" s="25"/>
      <c r="I91" s="25"/>
      <c r="J91" s="26"/>
      <c r="K91" s="26"/>
      <c r="L91" s="26"/>
      <c r="M91" s="27"/>
      <c r="N91" s="27"/>
      <c r="O91" s="27"/>
      <c r="P91" s="27"/>
      <c r="Q91" s="27"/>
      <c r="R91" s="27"/>
      <c r="S91" s="16"/>
      <c r="T91" s="27"/>
      <c r="U91" s="27"/>
    </row>
    <row r="92" spans="1:21">
      <c r="B92" s="22"/>
      <c r="C92" s="23"/>
      <c r="D92" s="29"/>
      <c r="E92" s="24"/>
      <c r="F92" s="17"/>
      <c r="G92" s="25"/>
      <c r="H92" s="25"/>
      <c r="I92" s="25"/>
      <c r="J92" s="26"/>
      <c r="K92" s="26"/>
      <c r="L92" s="26"/>
      <c r="M92" s="27"/>
      <c r="N92" s="27"/>
      <c r="O92" s="27"/>
      <c r="P92" s="27"/>
      <c r="Q92" s="27"/>
      <c r="R92" s="27"/>
      <c r="S92" s="16"/>
      <c r="T92" s="27"/>
      <c r="U92" s="27"/>
    </row>
    <row r="93" spans="1:21">
      <c r="B93" s="22"/>
      <c r="C93" s="23"/>
      <c r="D93" s="29"/>
      <c r="E93" s="24"/>
      <c r="F93" s="17"/>
      <c r="G93" s="25"/>
      <c r="H93" s="25"/>
      <c r="I93" s="25"/>
      <c r="J93" s="26"/>
      <c r="K93" s="26"/>
      <c r="L93" s="26"/>
      <c r="M93" s="27"/>
      <c r="N93" s="27"/>
      <c r="O93" s="27"/>
      <c r="P93" s="27"/>
      <c r="Q93" s="27"/>
      <c r="R93" s="27"/>
      <c r="S93" s="16"/>
      <c r="T93" s="27"/>
      <c r="U93" s="27"/>
    </row>
    <row r="94" spans="1:21">
      <c r="B94" s="22"/>
      <c r="C94" s="23"/>
      <c r="D94" s="29"/>
      <c r="E94" s="24"/>
      <c r="F94" s="17"/>
      <c r="G94" s="25"/>
      <c r="H94" s="25"/>
      <c r="I94" s="25"/>
      <c r="J94" s="26"/>
      <c r="K94" s="26"/>
      <c r="L94" s="26"/>
      <c r="M94" s="27"/>
      <c r="N94" s="27"/>
      <c r="O94" s="27"/>
      <c r="P94" s="27"/>
      <c r="Q94" s="27"/>
      <c r="R94" s="27"/>
      <c r="S94" s="16"/>
      <c r="T94" s="27"/>
      <c r="U94" s="27"/>
    </row>
    <row r="95" spans="1:21">
      <c r="B95" s="22"/>
      <c r="C95" s="23"/>
      <c r="D95" s="29"/>
      <c r="E95" s="24"/>
      <c r="F95" s="17"/>
      <c r="G95" s="25"/>
      <c r="H95" s="25"/>
      <c r="I95" s="25"/>
      <c r="J95" s="26"/>
      <c r="K95" s="26"/>
      <c r="L95" s="26"/>
      <c r="M95" s="27"/>
      <c r="N95" s="27"/>
      <c r="O95" s="27"/>
      <c r="P95" s="27"/>
      <c r="Q95" s="27"/>
      <c r="R95" s="27"/>
      <c r="S95" s="16"/>
      <c r="T95" s="27"/>
      <c r="U95" s="27"/>
    </row>
    <row r="96" spans="1:21">
      <c r="B96" s="22"/>
      <c r="C96" s="23"/>
      <c r="D96" s="29"/>
      <c r="E96" s="24"/>
      <c r="F96" s="17"/>
      <c r="G96" s="25"/>
      <c r="H96" s="25"/>
      <c r="I96" s="25"/>
      <c r="J96" s="26"/>
      <c r="K96" s="26"/>
      <c r="L96" s="26"/>
      <c r="M96" s="27"/>
      <c r="N96" s="27"/>
      <c r="O96" s="27"/>
      <c r="P96" s="27"/>
      <c r="Q96" s="27"/>
      <c r="R96" s="27"/>
      <c r="S96" s="16"/>
      <c r="T96" s="27"/>
      <c r="U96" s="27"/>
    </row>
    <row r="97" spans="1:21">
      <c r="B97" s="22"/>
      <c r="C97" s="23"/>
      <c r="D97" s="29"/>
      <c r="E97" s="24"/>
      <c r="F97" s="17"/>
      <c r="G97" s="25"/>
      <c r="H97" s="25"/>
      <c r="I97" s="25"/>
      <c r="J97" s="26"/>
      <c r="K97" s="26"/>
      <c r="L97" s="26"/>
      <c r="M97" s="27"/>
      <c r="N97" s="27"/>
      <c r="O97" s="27"/>
      <c r="P97" s="27"/>
      <c r="Q97" s="27"/>
      <c r="R97" s="27"/>
      <c r="S97" s="16"/>
      <c r="T97" s="27"/>
      <c r="U97" s="27"/>
    </row>
    <row r="98" spans="1:21">
      <c r="B98" s="22"/>
      <c r="C98" s="23"/>
      <c r="D98" s="29"/>
      <c r="E98" s="24"/>
      <c r="F98" s="17"/>
      <c r="G98" s="25"/>
      <c r="H98" s="25"/>
      <c r="I98" s="25"/>
      <c r="J98" s="26"/>
      <c r="K98" s="26"/>
      <c r="L98" s="26"/>
      <c r="M98" s="27"/>
      <c r="N98" s="27"/>
      <c r="O98" s="27"/>
      <c r="P98" s="27"/>
      <c r="Q98" s="27"/>
      <c r="R98" s="27"/>
      <c r="S98" s="16"/>
      <c r="T98" s="27"/>
      <c r="U98" s="27"/>
    </row>
    <row r="99" spans="1:21">
      <c r="B99" s="22"/>
      <c r="C99" s="23"/>
      <c r="D99" s="29"/>
      <c r="E99" s="24"/>
      <c r="F99" s="17"/>
      <c r="G99" s="25"/>
      <c r="H99" s="25"/>
      <c r="I99" s="25"/>
      <c r="J99" s="26"/>
      <c r="K99" s="26"/>
      <c r="L99" s="26"/>
      <c r="M99" s="27"/>
      <c r="N99" s="27"/>
      <c r="O99" s="27"/>
      <c r="P99" s="27"/>
      <c r="Q99" s="27"/>
      <c r="R99" s="27"/>
      <c r="S99" s="16"/>
      <c r="T99" s="27"/>
      <c r="U99" s="27"/>
    </row>
    <row r="100" spans="1:21">
      <c r="B100" s="22"/>
      <c r="C100" s="23"/>
      <c r="D100" s="29"/>
      <c r="E100" s="24"/>
      <c r="F100" s="17"/>
      <c r="G100" s="25"/>
      <c r="H100" s="25"/>
      <c r="I100" s="25"/>
      <c r="J100" s="26"/>
      <c r="K100" s="26"/>
      <c r="L100" s="26"/>
      <c r="M100" s="27"/>
      <c r="N100" s="27"/>
      <c r="O100" s="27"/>
      <c r="P100" s="27"/>
      <c r="Q100" s="27"/>
      <c r="R100" s="27"/>
      <c r="S100" s="16"/>
      <c r="T100" s="27"/>
      <c r="U100" s="27"/>
    </row>
    <row r="101" spans="1:21">
      <c r="B101" s="22"/>
      <c r="C101" s="23"/>
      <c r="D101" s="29"/>
      <c r="E101" s="24"/>
      <c r="F101" s="17"/>
      <c r="G101" s="25"/>
      <c r="H101" s="25"/>
      <c r="I101" s="25"/>
      <c r="J101" s="26"/>
      <c r="K101" s="26"/>
      <c r="L101" s="26"/>
      <c r="M101" s="27"/>
      <c r="N101" s="27"/>
      <c r="O101" s="27"/>
      <c r="P101" s="27"/>
      <c r="Q101" s="27"/>
      <c r="R101" s="27"/>
      <c r="S101" s="16"/>
      <c r="T101" s="27"/>
      <c r="U101" s="27"/>
    </row>
    <row r="102" spans="1:21">
      <c r="B102" s="22"/>
      <c r="C102" s="23"/>
      <c r="D102" s="29"/>
      <c r="E102" s="24"/>
      <c r="F102" s="17"/>
      <c r="G102" s="25"/>
      <c r="H102" s="25"/>
      <c r="I102" s="25"/>
      <c r="J102" s="26"/>
      <c r="K102" s="26"/>
      <c r="L102" s="26"/>
      <c r="M102" s="27"/>
      <c r="N102" s="27"/>
      <c r="O102" s="27"/>
      <c r="P102" s="27"/>
      <c r="Q102" s="27"/>
      <c r="R102" s="27"/>
      <c r="S102" s="16"/>
      <c r="T102" s="27"/>
      <c r="U102" s="27"/>
    </row>
    <row r="103" spans="1:21">
      <c r="B103" s="22"/>
      <c r="C103" s="23"/>
      <c r="D103" s="29"/>
      <c r="E103" s="24"/>
      <c r="F103" s="17"/>
      <c r="G103" s="25"/>
      <c r="H103" s="25"/>
      <c r="I103" s="25"/>
      <c r="J103" s="26"/>
      <c r="K103" s="26"/>
      <c r="L103" s="26"/>
      <c r="M103" s="27"/>
      <c r="N103" s="27"/>
      <c r="O103" s="27"/>
      <c r="P103" s="27"/>
      <c r="Q103" s="27"/>
      <c r="R103" s="27"/>
      <c r="S103" s="16"/>
      <c r="T103" s="27"/>
      <c r="U103" s="27"/>
    </row>
    <row r="104" spans="1:21">
      <c r="B104" s="22"/>
      <c r="C104" s="23"/>
      <c r="D104" s="29"/>
      <c r="E104" s="24"/>
      <c r="F104" s="17"/>
      <c r="G104" s="25"/>
      <c r="H104" s="25"/>
      <c r="I104" s="25"/>
      <c r="J104" s="26"/>
      <c r="K104" s="26"/>
      <c r="L104" s="26"/>
      <c r="M104" s="27"/>
      <c r="N104" s="27"/>
      <c r="O104" s="27"/>
      <c r="P104" s="27"/>
      <c r="Q104" s="27"/>
      <c r="R104" s="27"/>
      <c r="S104" s="16"/>
      <c r="T104" s="27"/>
      <c r="U104" s="27"/>
    </row>
    <row r="105" spans="1:21">
      <c r="B105" s="22"/>
      <c r="C105" s="23"/>
      <c r="D105" s="29"/>
      <c r="E105" s="24"/>
      <c r="F105" s="17"/>
      <c r="G105" s="25"/>
      <c r="H105" s="25"/>
      <c r="I105" s="25"/>
      <c r="J105" s="26"/>
      <c r="K105" s="26"/>
      <c r="L105" s="26"/>
      <c r="M105" s="27"/>
      <c r="N105" s="27"/>
      <c r="O105" s="27"/>
      <c r="P105" s="27"/>
      <c r="Q105" s="27"/>
      <c r="R105" s="27"/>
      <c r="S105" s="16"/>
      <c r="T105" s="27"/>
      <c r="U105" s="27"/>
    </row>
    <row r="106" spans="1:21">
      <c r="B106" s="22"/>
      <c r="C106" s="23"/>
      <c r="D106" s="29"/>
      <c r="E106" s="24"/>
      <c r="F106" s="17"/>
      <c r="G106" s="25"/>
      <c r="H106" s="25"/>
      <c r="I106" s="25"/>
      <c r="J106" s="26"/>
      <c r="K106" s="26"/>
      <c r="L106" s="26"/>
      <c r="M106" s="27"/>
      <c r="N106" s="27"/>
      <c r="O106" s="27"/>
      <c r="P106" s="27"/>
      <c r="Q106" s="27"/>
      <c r="R106" s="27"/>
      <c r="S106" s="16"/>
      <c r="T106" s="27"/>
      <c r="U106" s="27"/>
    </row>
    <row r="108" spans="1:21">
      <c r="B108" s="18"/>
      <c r="C108" s="18"/>
      <c r="D108" s="1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spans="1:21">
      <c r="C109" s="21"/>
      <c r="D109" s="21"/>
      <c r="E109" s="21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>
      <c r="A110" s="15"/>
      <c r="B110" s="22"/>
      <c r="C110" s="23"/>
      <c r="D110" s="23"/>
      <c r="E110" s="24"/>
      <c r="F110" s="17"/>
      <c r="G110" s="25"/>
      <c r="H110" s="25"/>
      <c r="I110" s="25"/>
      <c r="J110" s="26"/>
      <c r="K110" s="26"/>
      <c r="L110" s="26"/>
      <c r="M110" s="27"/>
      <c r="N110" s="27"/>
      <c r="O110" s="27"/>
      <c r="P110" s="27"/>
      <c r="Q110" s="27"/>
      <c r="R110" s="27"/>
      <c r="S110" s="16"/>
      <c r="T110" s="27"/>
      <c r="U110" s="27"/>
    </row>
    <row r="111" spans="1:21">
      <c r="B111" s="22"/>
      <c r="C111" s="30"/>
      <c r="D111" s="29"/>
      <c r="E111" s="24"/>
      <c r="F111" s="17"/>
      <c r="G111" s="25"/>
      <c r="H111" s="25"/>
      <c r="I111" s="25"/>
      <c r="J111" s="26"/>
      <c r="K111" s="26"/>
      <c r="L111" s="26"/>
      <c r="M111" s="27"/>
      <c r="N111" s="27"/>
      <c r="O111" s="27"/>
      <c r="Q111" s="27"/>
      <c r="R111" s="27"/>
      <c r="S111" s="16"/>
      <c r="T111" s="27"/>
      <c r="U111" s="27"/>
    </row>
    <row r="112" spans="1:21">
      <c r="B112" s="22"/>
      <c r="C112" s="26"/>
      <c r="D112" s="31"/>
      <c r="E112" s="24"/>
      <c r="F112" s="17"/>
      <c r="G112" s="25"/>
      <c r="H112" s="25"/>
      <c r="I112" s="25"/>
      <c r="J112" s="26"/>
      <c r="K112" s="26"/>
      <c r="L112" s="26"/>
      <c r="M112" s="27"/>
      <c r="N112" s="27"/>
      <c r="O112" s="27"/>
      <c r="Q112" s="27"/>
      <c r="R112" s="27"/>
      <c r="S112" s="16"/>
      <c r="T112" s="27"/>
      <c r="U112" s="27"/>
    </row>
    <row r="113" spans="2:21">
      <c r="B113" s="22"/>
      <c r="C113" s="40"/>
      <c r="D113" s="31"/>
      <c r="E113" s="41"/>
      <c r="F113" s="42"/>
      <c r="G113" s="43"/>
      <c r="H113" s="43"/>
      <c r="I113" s="43"/>
      <c r="J113" s="40"/>
      <c r="K113" s="40"/>
      <c r="L113" s="40"/>
      <c r="M113" s="44"/>
      <c r="N113" s="44"/>
      <c r="O113" s="44"/>
      <c r="P113" s="45"/>
      <c r="Q113" s="44"/>
      <c r="R113" s="44"/>
      <c r="S113" s="46"/>
      <c r="T113" s="44"/>
      <c r="U113" s="27"/>
    </row>
    <row r="114" spans="2:21">
      <c r="B114" s="22"/>
      <c r="C114" s="40"/>
      <c r="D114" s="31"/>
      <c r="E114" s="41"/>
      <c r="F114" s="42"/>
      <c r="G114" s="43"/>
      <c r="H114" s="43"/>
      <c r="I114" s="43"/>
      <c r="J114" s="40"/>
      <c r="K114" s="40"/>
      <c r="L114" s="40"/>
      <c r="M114" s="44"/>
      <c r="N114" s="44"/>
      <c r="O114" s="44"/>
      <c r="P114" s="45"/>
      <c r="Q114" s="44"/>
      <c r="R114" s="44"/>
      <c r="S114" s="46"/>
      <c r="T114" s="44"/>
      <c r="U114" s="27"/>
    </row>
    <row r="115" spans="2:21">
      <c r="B115" s="22"/>
      <c r="C115" s="40"/>
      <c r="D115" s="31"/>
      <c r="E115" s="41"/>
      <c r="F115" s="42"/>
      <c r="G115" s="43"/>
      <c r="H115" s="43"/>
      <c r="I115" s="43"/>
      <c r="J115" s="40"/>
      <c r="K115" s="40"/>
      <c r="L115" s="40"/>
      <c r="M115" s="44"/>
      <c r="N115" s="44"/>
      <c r="O115" s="44"/>
      <c r="P115" s="45"/>
      <c r="Q115" s="44"/>
      <c r="R115" s="44"/>
      <c r="S115" s="46"/>
      <c r="T115" s="44"/>
      <c r="U115" s="27"/>
    </row>
    <row r="116" spans="2:21">
      <c r="B116" s="22"/>
      <c r="C116" s="26"/>
      <c r="D116" s="29"/>
      <c r="E116" s="24"/>
      <c r="F116" s="17"/>
      <c r="G116" s="25"/>
      <c r="H116" s="25"/>
      <c r="I116" s="25"/>
      <c r="J116" s="26"/>
      <c r="K116" s="26"/>
      <c r="L116" s="26"/>
      <c r="M116" s="27"/>
      <c r="N116" s="27"/>
      <c r="O116" s="27"/>
      <c r="Q116" s="27"/>
      <c r="R116" s="27"/>
      <c r="S116" s="16"/>
      <c r="T116" s="27"/>
      <c r="U116" s="27"/>
    </row>
    <row r="117" spans="2:21">
      <c r="B117" s="22"/>
      <c r="C117" s="26"/>
      <c r="D117" s="29"/>
      <c r="E117" s="24"/>
      <c r="F117" s="17"/>
      <c r="G117" s="25"/>
      <c r="H117" s="25"/>
      <c r="I117" s="25"/>
      <c r="J117" s="26"/>
      <c r="K117" s="26"/>
      <c r="L117" s="26"/>
      <c r="M117" s="27"/>
      <c r="N117" s="27"/>
      <c r="O117" s="27"/>
      <c r="Q117" s="27"/>
      <c r="R117" s="27"/>
      <c r="S117" s="16"/>
      <c r="T117" s="27"/>
      <c r="U117" s="27"/>
    </row>
    <row r="118" spans="2:21">
      <c r="B118" s="22"/>
      <c r="C118" s="26"/>
      <c r="D118" s="29"/>
      <c r="E118" s="24"/>
      <c r="F118" s="17"/>
      <c r="G118" s="25"/>
      <c r="H118" s="25"/>
      <c r="I118" s="25"/>
      <c r="J118" s="26"/>
      <c r="K118" s="26"/>
      <c r="L118" s="26"/>
      <c r="M118" s="27"/>
      <c r="N118" s="27"/>
      <c r="O118" s="27"/>
      <c r="Q118" s="27"/>
      <c r="R118" s="27"/>
      <c r="S118" s="16"/>
      <c r="T118" s="27"/>
      <c r="U118" s="27"/>
    </row>
    <row r="119" spans="2:21">
      <c r="B119" s="22"/>
      <c r="C119" s="26"/>
      <c r="D119" s="29"/>
      <c r="E119" s="24"/>
      <c r="F119" s="17"/>
      <c r="G119" s="25"/>
      <c r="H119" s="25"/>
      <c r="I119" s="25"/>
      <c r="J119" s="26"/>
      <c r="K119" s="26"/>
      <c r="L119" s="26"/>
      <c r="M119" s="27"/>
      <c r="N119" s="27"/>
      <c r="O119" s="27"/>
      <c r="Q119" s="27"/>
      <c r="R119" s="27"/>
      <c r="S119" s="16"/>
      <c r="T119" s="27"/>
      <c r="U119" s="27"/>
    </row>
    <row r="120" spans="2:21">
      <c r="B120" s="22"/>
      <c r="C120" s="26"/>
      <c r="D120" s="29"/>
      <c r="E120" s="24"/>
      <c r="F120" s="17"/>
      <c r="G120" s="25"/>
      <c r="H120" s="25"/>
      <c r="I120" s="25"/>
      <c r="J120" s="26"/>
      <c r="K120" s="26"/>
      <c r="L120" s="26"/>
      <c r="M120" s="27"/>
      <c r="N120" s="27"/>
      <c r="O120" s="27"/>
      <c r="Q120" s="27"/>
      <c r="R120" s="27"/>
      <c r="S120" s="16"/>
      <c r="T120" s="27"/>
      <c r="U120" s="27"/>
    </row>
    <row r="121" spans="2:21">
      <c r="B121" s="22"/>
      <c r="C121" s="26"/>
      <c r="D121" s="29"/>
      <c r="E121" s="24"/>
      <c r="F121" s="17"/>
      <c r="G121" s="25"/>
      <c r="H121" s="25"/>
      <c r="I121" s="25"/>
      <c r="J121" s="26"/>
      <c r="K121" s="26"/>
      <c r="L121" s="26"/>
      <c r="M121" s="27"/>
      <c r="N121" s="27"/>
      <c r="O121" s="27"/>
      <c r="Q121" s="27"/>
      <c r="R121" s="27"/>
      <c r="S121" s="16"/>
      <c r="T121" s="27"/>
      <c r="U121" s="27"/>
    </row>
    <row r="122" spans="2:21">
      <c r="B122" s="22"/>
      <c r="C122" s="26"/>
      <c r="D122" s="29"/>
      <c r="E122" s="24"/>
      <c r="F122" s="17"/>
      <c r="G122" s="25"/>
      <c r="H122" s="25"/>
      <c r="I122" s="25"/>
      <c r="J122" s="26"/>
      <c r="K122" s="26"/>
      <c r="L122" s="26"/>
      <c r="M122" s="27"/>
      <c r="N122" s="27"/>
      <c r="O122" s="27"/>
      <c r="Q122" s="27"/>
      <c r="R122" s="27"/>
      <c r="S122" s="16"/>
      <c r="T122" s="27"/>
      <c r="U122" s="27"/>
    </row>
    <row r="123" spans="2:21">
      <c r="B123" s="22"/>
      <c r="C123" s="26"/>
      <c r="D123" s="29"/>
      <c r="E123" s="24"/>
      <c r="F123" s="17"/>
      <c r="G123" s="25"/>
      <c r="H123" s="25"/>
      <c r="I123" s="25"/>
      <c r="J123" s="26"/>
      <c r="K123" s="26"/>
      <c r="L123" s="26"/>
      <c r="M123" s="27"/>
      <c r="N123" s="27"/>
      <c r="O123" s="27"/>
      <c r="Q123" s="27"/>
      <c r="R123" s="27"/>
      <c r="S123" s="16"/>
      <c r="T123" s="27"/>
      <c r="U123" s="27"/>
    </row>
    <row r="124" spans="2:21">
      <c r="B124" s="22"/>
      <c r="C124" s="26"/>
      <c r="D124" s="29"/>
      <c r="E124" s="24"/>
      <c r="F124" s="17"/>
      <c r="G124" s="25"/>
      <c r="H124" s="25"/>
      <c r="I124" s="25"/>
      <c r="J124" s="26"/>
      <c r="K124" s="26"/>
      <c r="L124" s="26"/>
      <c r="M124" s="27"/>
      <c r="N124" s="27"/>
      <c r="O124" s="27"/>
      <c r="Q124" s="27"/>
      <c r="R124" s="27"/>
      <c r="S124" s="16"/>
      <c r="T124" s="27"/>
      <c r="U124" s="27"/>
    </row>
    <row r="125" spans="2:21">
      <c r="B125" s="22"/>
      <c r="C125" s="26"/>
      <c r="D125" s="29"/>
      <c r="E125" s="24"/>
      <c r="F125" s="17"/>
      <c r="G125" s="25"/>
      <c r="H125" s="25"/>
      <c r="I125" s="25"/>
      <c r="J125" s="26"/>
      <c r="K125" s="26"/>
      <c r="L125" s="26"/>
      <c r="M125" s="27"/>
      <c r="N125" s="27"/>
      <c r="O125" s="27"/>
      <c r="Q125" s="27"/>
      <c r="R125" s="27"/>
      <c r="S125" s="16"/>
      <c r="T125" s="27"/>
      <c r="U125" s="27"/>
    </row>
    <row r="126" spans="2:21">
      <c r="B126" s="22"/>
      <c r="C126" s="26"/>
      <c r="D126" s="29"/>
      <c r="E126" s="24"/>
      <c r="F126" s="17"/>
      <c r="G126" s="25"/>
      <c r="H126" s="25"/>
      <c r="I126" s="25"/>
      <c r="J126" s="26"/>
      <c r="K126" s="26"/>
      <c r="L126" s="26"/>
      <c r="M126" s="27"/>
      <c r="N126" s="27"/>
      <c r="O126" s="27"/>
      <c r="Q126" s="27"/>
      <c r="R126" s="27"/>
      <c r="S126" s="16"/>
      <c r="T126" s="27"/>
      <c r="U126" s="27"/>
    </row>
    <row r="127" spans="2:21">
      <c r="B127" s="22"/>
      <c r="C127" s="26"/>
      <c r="D127" s="29"/>
      <c r="E127" s="24"/>
      <c r="F127" s="17"/>
      <c r="G127" s="25"/>
      <c r="H127" s="25"/>
      <c r="I127" s="25"/>
      <c r="J127" s="26"/>
      <c r="K127" s="26"/>
      <c r="L127" s="26"/>
      <c r="M127" s="27"/>
      <c r="N127" s="27"/>
      <c r="O127" s="27"/>
      <c r="Q127" s="27"/>
      <c r="R127" s="27"/>
      <c r="S127" s="16"/>
      <c r="T127" s="27"/>
      <c r="U127" s="27"/>
    </row>
    <row r="128" spans="2:21">
      <c r="B128" s="22"/>
      <c r="C128" s="26"/>
      <c r="D128" s="29"/>
      <c r="E128" s="24"/>
      <c r="F128" s="17"/>
      <c r="G128" s="25"/>
      <c r="H128" s="25"/>
      <c r="I128" s="25"/>
      <c r="J128" s="26"/>
      <c r="K128" s="26"/>
      <c r="L128" s="26"/>
      <c r="M128" s="27"/>
      <c r="N128" s="27"/>
      <c r="O128" s="27"/>
      <c r="Q128" s="27"/>
      <c r="R128" s="27"/>
      <c r="S128" s="16"/>
      <c r="T128" s="27"/>
      <c r="U128" s="27"/>
    </row>
    <row r="129" spans="1:21">
      <c r="B129" s="22"/>
      <c r="C129" s="26"/>
      <c r="D129" s="29"/>
      <c r="E129" s="24"/>
      <c r="F129" s="17"/>
      <c r="G129" s="25"/>
      <c r="H129" s="25"/>
      <c r="I129" s="25"/>
      <c r="J129" s="26"/>
      <c r="K129" s="26"/>
      <c r="L129" s="26"/>
      <c r="M129" s="27"/>
      <c r="N129" s="27"/>
      <c r="O129" s="27"/>
      <c r="Q129" s="27"/>
      <c r="R129" s="27"/>
      <c r="S129" s="16"/>
      <c r="T129" s="27"/>
      <c r="U129" s="27"/>
    </row>
    <row r="130" spans="1:21">
      <c r="B130" s="22"/>
      <c r="C130" s="26"/>
      <c r="D130" s="29"/>
      <c r="E130" s="24"/>
      <c r="F130" s="17"/>
      <c r="G130" s="25"/>
      <c r="H130" s="25"/>
      <c r="I130" s="25"/>
      <c r="J130" s="26"/>
      <c r="K130" s="26"/>
      <c r="L130" s="26"/>
      <c r="M130" s="27"/>
      <c r="N130" s="27"/>
      <c r="O130" s="27"/>
      <c r="Q130" s="27"/>
      <c r="R130" s="27"/>
      <c r="S130" s="16"/>
      <c r="T130" s="27"/>
      <c r="U130" s="27"/>
    </row>
    <row r="131" spans="1:21">
      <c r="B131" s="11"/>
      <c r="D131" s="33"/>
      <c r="S131" s="16"/>
      <c r="T131" s="27"/>
      <c r="U131" s="27"/>
    </row>
    <row r="132" spans="1:21">
      <c r="D132" s="26"/>
      <c r="S132" s="16"/>
      <c r="T132" s="27"/>
      <c r="U132" s="27"/>
    </row>
    <row r="133" spans="1:21">
      <c r="D133" s="26"/>
      <c r="S133" s="16"/>
      <c r="T133" s="27"/>
      <c r="U133" s="27"/>
    </row>
    <row r="134" spans="1:21">
      <c r="D134" s="26"/>
      <c r="S134" s="16"/>
      <c r="T134" s="27"/>
      <c r="U134" s="27"/>
    </row>
    <row r="136" spans="1:21">
      <c r="B136" s="18"/>
      <c r="C136" s="18"/>
      <c r="D136" s="18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spans="1:21">
      <c r="B137" s="20"/>
      <c r="C137" s="21"/>
      <c r="D137" s="21"/>
      <c r="E137" s="21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>
      <c r="A138" s="15"/>
      <c r="B138" s="22"/>
      <c r="C138" s="23"/>
      <c r="D138" s="23"/>
      <c r="E138" s="24"/>
      <c r="F138" s="17"/>
      <c r="G138" s="25"/>
      <c r="H138" s="25"/>
      <c r="I138" s="25"/>
      <c r="J138" s="26"/>
      <c r="K138" s="26"/>
      <c r="L138" s="26"/>
      <c r="M138" s="27"/>
      <c r="N138" s="27"/>
      <c r="O138" s="27"/>
      <c r="P138" s="27"/>
      <c r="Q138" s="27"/>
      <c r="R138" s="27"/>
      <c r="S138" s="16"/>
      <c r="T138" s="27"/>
      <c r="U138" s="27"/>
    </row>
    <row r="139" spans="1:21">
      <c r="B139" s="22"/>
      <c r="C139" s="23"/>
      <c r="D139" s="29"/>
      <c r="E139" s="24"/>
      <c r="F139" s="17"/>
      <c r="G139" s="25"/>
      <c r="H139" s="25"/>
      <c r="I139" s="25"/>
      <c r="J139" s="26"/>
      <c r="K139" s="26"/>
      <c r="L139" s="26"/>
      <c r="M139" s="27"/>
      <c r="N139" s="27"/>
      <c r="O139" s="27"/>
      <c r="P139" s="27"/>
      <c r="Q139" s="27"/>
      <c r="R139" s="27"/>
      <c r="S139" s="16"/>
      <c r="T139" s="27"/>
      <c r="U139" s="27"/>
    </row>
    <row r="140" spans="1:21">
      <c r="B140" s="22"/>
      <c r="C140" s="23"/>
      <c r="D140" s="29"/>
      <c r="E140" s="24"/>
      <c r="F140" s="17"/>
      <c r="G140" s="25"/>
      <c r="H140" s="25"/>
      <c r="I140" s="25"/>
      <c r="J140" s="26"/>
      <c r="K140" s="26"/>
      <c r="L140" s="26"/>
      <c r="M140" s="27"/>
      <c r="N140" s="27"/>
      <c r="O140" s="27"/>
      <c r="P140" s="27"/>
      <c r="Q140" s="27"/>
      <c r="R140" s="27"/>
      <c r="S140" s="16"/>
      <c r="T140" s="27"/>
      <c r="U140" s="27"/>
    </row>
    <row r="141" spans="1:21">
      <c r="B141" s="22"/>
      <c r="C141" s="23"/>
      <c r="D141" s="29"/>
      <c r="E141" s="24"/>
      <c r="F141" s="17"/>
      <c r="G141" s="25"/>
      <c r="H141" s="25"/>
      <c r="I141" s="25"/>
      <c r="J141" s="26"/>
      <c r="K141" s="26"/>
      <c r="L141" s="26"/>
      <c r="M141" s="27"/>
      <c r="N141" s="27"/>
      <c r="O141" s="27"/>
      <c r="P141" s="27"/>
      <c r="Q141" s="27"/>
      <c r="R141" s="27"/>
      <c r="S141" s="16"/>
      <c r="T141" s="27"/>
      <c r="U141" s="27"/>
    </row>
    <row r="142" spans="1:21">
      <c r="B142" s="22"/>
      <c r="C142" s="23"/>
      <c r="D142" s="29"/>
      <c r="E142" s="24"/>
      <c r="F142" s="17"/>
      <c r="G142" s="25"/>
      <c r="H142" s="25"/>
      <c r="I142" s="25"/>
      <c r="J142" s="26"/>
      <c r="K142" s="26"/>
      <c r="L142" s="26"/>
      <c r="M142" s="27"/>
      <c r="N142" s="27"/>
      <c r="O142" s="27"/>
      <c r="P142" s="27"/>
      <c r="Q142" s="27"/>
      <c r="R142" s="27"/>
      <c r="S142" s="16"/>
      <c r="T142" s="27"/>
      <c r="U142" s="27"/>
    </row>
    <row r="143" spans="1:21">
      <c r="B143" s="22"/>
      <c r="C143" s="23"/>
      <c r="D143" s="29"/>
      <c r="E143" s="24"/>
      <c r="F143" s="17"/>
      <c r="G143" s="25"/>
      <c r="H143" s="25"/>
      <c r="I143" s="25"/>
      <c r="J143" s="26"/>
      <c r="K143" s="26"/>
      <c r="L143" s="26"/>
      <c r="M143" s="27"/>
      <c r="N143" s="27"/>
      <c r="O143" s="27"/>
      <c r="P143" s="27"/>
      <c r="Q143" s="27"/>
      <c r="R143" s="27"/>
      <c r="S143" s="16"/>
      <c r="T143" s="27"/>
      <c r="U143" s="27"/>
    </row>
    <row r="144" spans="1:21">
      <c r="B144" s="22"/>
      <c r="C144" s="23"/>
      <c r="D144" s="29"/>
      <c r="E144" s="24"/>
      <c r="F144" s="17"/>
      <c r="G144" s="25"/>
      <c r="H144" s="25"/>
      <c r="I144" s="25"/>
      <c r="J144" s="26"/>
      <c r="K144" s="26"/>
      <c r="L144" s="26"/>
      <c r="M144" s="27"/>
      <c r="N144" s="27"/>
      <c r="O144" s="27"/>
      <c r="P144" s="27"/>
      <c r="Q144" s="27"/>
      <c r="R144" s="27"/>
      <c r="S144" s="16"/>
      <c r="T144" s="27"/>
      <c r="U144" s="27"/>
    </row>
    <row r="145" spans="2:21">
      <c r="B145" s="22"/>
      <c r="C145" s="23"/>
      <c r="D145" s="29"/>
      <c r="E145" s="24"/>
      <c r="F145" s="17"/>
      <c r="G145" s="25"/>
      <c r="H145" s="25"/>
      <c r="I145" s="25"/>
      <c r="J145" s="26"/>
      <c r="K145" s="26"/>
      <c r="L145" s="26"/>
      <c r="M145" s="27"/>
      <c r="N145" s="27"/>
      <c r="O145" s="27"/>
      <c r="P145" s="27"/>
      <c r="Q145" s="27"/>
      <c r="R145" s="27"/>
      <c r="S145" s="16"/>
      <c r="T145" s="27"/>
      <c r="U145" s="27"/>
    </row>
    <row r="146" spans="2:21">
      <c r="B146" s="22"/>
      <c r="C146" s="23"/>
      <c r="D146" s="29"/>
      <c r="E146" s="24"/>
      <c r="F146" s="17"/>
      <c r="G146" s="25"/>
      <c r="H146" s="25"/>
      <c r="I146" s="25"/>
      <c r="J146" s="26"/>
      <c r="K146" s="26"/>
      <c r="L146" s="26"/>
      <c r="M146" s="27"/>
      <c r="N146" s="27"/>
      <c r="O146" s="27"/>
      <c r="P146" s="27"/>
      <c r="Q146" s="27"/>
      <c r="R146" s="27"/>
      <c r="S146" s="16"/>
      <c r="T146" s="27"/>
      <c r="U146" s="27"/>
    </row>
    <row r="147" spans="2:21">
      <c r="B147" s="22"/>
      <c r="C147" s="23"/>
      <c r="D147" s="29"/>
      <c r="E147" s="24"/>
      <c r="F147" s="17"/>
      <c r="G147" s="25"/>
      <c r="H147" s="25"/>
      <c r="I147" s="25"/>
      <c r="J147" s="26"/>
      <c r="K147" s="26"/>
      <c r="L147" s="26"/>
      <c r="M147" s="27"/>
      <c r="N147" s="27"/>
      <c r="O147" s="27"/>
      <c r="P147" s="27"/>
      <c r="Q147" s="27"/>
      <c r="R147" s="27"/>
      <c r="S147" s="16"/>
      <c r="T147" s="27"/>
      <c r="U147" s="27"/>
    </row>
    <row r="148" spans="2:21">
      <c r="B148" s="22"/>
      <c r="C148" s="23"/>
      <c r="D148" s="29"/>
      <c r="E148" s="24"/>
      <c r="F148" s="17"/>
      <c r="G148" s="25"/>
      <c r="H148" s="25"/>
      <c r="I148" s="25"/>
      <c r="J148" s="26"/>
      <c r="K148" s="26"/>
      <c r="L148" s="26"/>
      <c r="M148" s="27"/>
      <c r="N148" s="27"/>
      <c r="O148" s="27"/>
      <c r="P148" s="27"/>
      <c r="Q148" s="27"/>
      <c r="R148" s="27"/>
      <c r="S148" s="16"/>
      <c r="T148" s="27"/>
      <c r="U148" s="27"/>
    </row>
    <row r="149" spans="2:21">
      <c r="B149" s="22"/>
      <c r="C149" s="23"/>
      <c r="D149" s="29"/>
      <c r="E149" s="24"/>
      <c r="F149" s="17"/>
      <c r="G149" s="25"/>
      <c r="H149" s="25"/>
      <c r="I149" s="25"/>
      <c r="J149" s="26"/>
      <c r="K149" s="26"/>
      <c r="L149" s="26"/>
      <c r="M149" s="27"/>
      <c r="N149" s="27"/>
      <c r="O149" s="27"/>
      <c r="P149" s="27"/>
      <c r="Q149" s="27"/>
      <c r="R149" s="27"/>
      <c r="S149" s="16"/>
      <c r="T149" s="27"/>
      <c r="U149" s="27"/>
    </row>
    <row r="150" spans="2:21">
      <c r="B150" s="22"/>
      <c r="C150" s="23"/>
      <c r="D150" s="29"/>
      <c r="E150" s="24"/>
      <c r="F150" s="17"/>
      <c r="G150" s="25"/>
      <c r="H150" s="25"/>
      <c r="I150" s="25"/>
      <c r="J150" s="26"/>
      <c r="K150" s="26"/>
      <c r="L150" s="26"/>
      <c r="M150" s="27"/>
      <c r="N150" s="27"/>
      <c r="O150" s="27"/>
      <c r="P150" s="27"/>
      <c r="Q150" s="27"/>
      <c r="R150" s="27"/>
      <c r="S150" s="16"/>
      <c r="T150" s="27"/>
      <c r="U150" s="27"/>
    </row>
    <row r="151" spans="2:21">
      <c r="B151" s="22"/>
      <c r="C151" s="23"/>
      <c r="D151" s="29"/>
      <c r="E151" s="24"/>
      <c r="F151" s="17"/>
      <c r="G151" s="25"/>
      <c r="H151" s="25"/>
      <c r="I151" s="25"/>
      <c r="J151" s="26"/>
      <c r="K151" s="26"/>
      <c r="L151" s="26"/>
      <c r="M151" s="27"/>
      <c r="N151" s="27"/>
      <c r="O151" s="27"/>
      <c r="P151" s="27"/>
      <c r="Q151" s="27"/>
      <c r="R151" s="27"/>
      <c r="S151" s="16"/>
      <c r="T151" s="27"/>
      <c r="U151" s="27"/>
    </row>
    <row r="152" spans="2:21">
      <c r="B152" s="22"/>
      <c r="C152" s="23"/>
      <c r="D152" s="29"/>
      <c r="E152" s="24"/>
      <c r="F152" s="17"/>
      <c r="G152" s="25"/>
      <c r="H152" s="25"/>
      <c r="I152" s="25"/>
      <c r="J152" s="26"/>
      <c r="K152" s="26"/>
      <c r="L152" s="26"/>
      <c r="M152" s="27"/>
      <c r="N152" s="27"/>
      <c r="O152" s="27"/>
      <c r="P152" s="27"/>
      <c r="Q152" s="27"/>
      <c r="R152" s="27"/>
      <c r="S152" s="16"/>
      <c r="T152" s="27"/>
      <c r="U152" s="27"/>
    </row>
    <row r="153" spans="2:21">
      <c r="B153" s="22"/>
      <c r="C153" s="23"/>
      <c r="D153" s="29"/>
      <c r="E153" s="24"/>
      <c r="F153" s="17"/>
      <c r="G153" s="25"/>
      <c r="H153" s="25"/>
      <c r="I153" s="25"/>
      <c r="J153" s="26"/>
      <c r="K153" s="26"/>
      <c r="L153" s="26"/>
      <c r="M153" s="27"/>
      <c r="N153" s="27"/>
      <c r="O153" s="27"/>
      <c r="P153" s="27"/>
      <c r="Q153" s="27"/>
      <c r="R153" s="27"/>
      <c r="S153" s="16"/>
      <c r="T153" s="27"/>
      <c r="U153" s="27"/>
    </row>
    <row r="154" spans="2:21">
      <c r="B154" s="22"/>
      <c r="C154" s="23"/>
      <c r="D154" s="29"/>
      <c r="E154" s="24"/>
      <c r="F154" s="17"/>
      <c r="G154" s="25"/>
      <c r="H154" s="25"/>
      <c r="I154" s="25"/>
      <c r="J154" s="26"/>
      <c r="K154" s="26"/>
      <c r="L154" s="26"/>
      <c r="M154" s="27"/>
      <c r="N154" s="27"/>
      <c r="O154" s="27"/>
      <c r="P154" s="27"/>
      <c r="Q154" s="27"/>
      <c r="R154" s="27"/>
      <c r="S154" s="16"/>
      <c r="T154" s="27"/>
      <c r="U154" s="27"/>
    </row>
    <row r="155" spans="2:21">
      <c r="B155" s="22"/>
      <c r="C155" s="23"/>
      <c r="D155" s="29"/>
      <c r="E155" s="24"/>
      <c r="F155" s="17"/>
      <c r="G155" s="25"/>
      <c r="H155" s="25"/>
      <c r="I155" s="25"/>
      <c r="J155" s="26"/>
      <c r="K155" s="26"/>
      <c r="L155" s="26"/>
      <c r="M155" s="27"/>
      <c r="N155" s="27"/>
      <c r="O155" s="27"/>
      <c r="P155" s="27"/>
      <c r="Q155" s="27"/>
      <c r="R155" s="27"/>
      <c r="S155" s="16"/>
      <c r="T155" s="27"/>
      <c r="U155" s="27"/>
    </row>
    <row r="156" spans="2:21">
      <c r="B156" s="22"/>
      <c r="C156" s="23"/>
      <c r="D156" s="29"/>
      <c r="E156" s="24"/>
      <c r="F156" s="17"/>
      <c r="G156" s="25"/>
      <c r="H156" s="25"/>
      <c r="I156" s="25"/>
      <c r="J156" s="26"/>
      <c r="K156" s="26"/>
      <c r="L156" s="26"/>
      <c r="M156" s="27"/>
      <c r="N156" s="27"/>
      <c r="O156" s="27"/>
      <c r="P156" s="27"/>
      <c r="Q156" s="27"/>
      <c r="R156" s="27"/>
      <c r="S156" s="16"/>
      <c r="T156" s="27"/>
      <c r="U156" s="27"/>
    </row>
    <row r="157" spans="2:21">
      <c r="B157" s="22"/>
      <c r="C157" s="23"/>
      <c r="D157" s="29"/>
      <c r="E157" s="24"/>
      <c r="F157" s="17"/>
      <c r="G157" s="25"/>
      <c r="H157" s="25"/>
      <c r="I157" s="25"/>
      <c r="J157" s="26"/>
      <c r="K157" s="26"/>
      <c r="L157" s="26"/>
      <c r="M157" s="27"/>
      <c r="N157" s="27"/>
      <c r="O157" s="27"/>
      <c r="P157" s="27"/>
      <c r="Q157" s="27"/>
      <c r="R157" s="27"/>
      <c r="S157" s="16"/>
      <c r="T157" s="27"/>
      <c r="U157" s="27"/>
    </row>
    <row r="159" spans="2:21">
      <c r="B159" s="18"/>
      <c r="C159" s="18"/>
      <c r="D159" s="18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</row>
    <row r="160" spans="2:21">
      <c r="C160" s="21"/>
      <c r="D160" s="21"/>
      <c r="E160" s="21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>
      <c r="A161" s="15"/>
      <c r="B161" s="22"/>
      <c r="C161" s="23"/>
      <c r="D161" s="23"/>
      <c r="E161" s="24"/>
      <c r="F161" s="17"/>
      <c r="G161" s="25"/>
      <c r="H161" s="25"/>
      <c r="I161" s="25"/>
      <c r="J161" s="26"/>
      <c r="K161" s="26"/>
      <c r="L161" s="26"/>
      <c r="M161" s="27"/>
      <c r="N161" s="27"/>
      <c r="O161" s="27"/>
      <c r="P161" s="27"/>
      <c r="Q161" s="27"/>
      <c r="R161" s="27"/>
      <c r="S161" s="16"/>
      <c r="T161" s="27"/>
      <c r="U161" s="27"/>
    </row>
    <row r="162" spans="1:21">
      <c r="B162" s="22"/>
      <c r="C162" s="30"/>
      <c r="D162" s="29"/>
      <c r="E162" s="24"/>
      <c r="F162" s="17"/>
      <c r="G162" s="25"/>
      <c r="H162" s="25"/>
      <c r="I162" s="25"/>
      <c r="J162" s="26"/>
      <c r="K162" s="26"/>
      <c r="L162" s="26"/>
      <c r="M162" s="27"/>
      <c r="N162" s="27"/>
      <c r="O162" s="27"/>
      <c r="Q162" s="27"/>
      <c r="R162" s="27"/>
      <c r="S162" s="16"/>
      <c r="T162" s="27"/>
      <c r="U162" s="27"/>
    </row>
    <row r="163" spans="1:21">
      <c r="B163" s="22"/>
      <c r="C163" s="26"/>
      <c r="D163" s="31"/>
      <c r="E163" s="24"/>
      <c r="F163" s="17"/>
      <c r="G163" s="25"/>
      <c r="H163" s="25"/>
      <c r="I163" s="25"/>
      <c r="J163" s="26"/>
      <c r="K163" s="26"/>
      <c r="L163" s="26"/>
      <c r="M163" s="27"/>
      <c r="N163" s="27"/>
      <c r="O163" s="27"/>
      <c r="Q163" s="27"/>
      <c r="R163" s="27"/>
      <c r="S163" s="16"/>
      <c r="T163" s="27"/>
      <c r="U163" s="27"/>
    </row>
    <row r="164" spans="1:21">
      <c r="B164" s="22"/>
      <c r="C164" s="26"/>
      <c r="D164" s="31"/>
      <c r="E164" s="24"/>
      <c r="F164" s="17"/>
      <c r="G164" s="25"/>
      <c r="H164" s="25"/>
      <c r="I164" s="25"/>
      <c r="J164" s="26"/>
      <c r="K164" s="26"/>
      <c r="L164" s="26"/>
      <c r="M164" s="27"/>
      <c r="N164" s="27"/>
      <c r="O164" s="27"/>
      <c r="Q164" s="27"/>
      <c r="R164" s="27"/>
      <c r="S164" s="16"/>
      <c r="T164" s="27"/>
      <c r="U164" s="27"/>
    </row>
    <row r="165" spans="1:21">
      <c r="B165" s="22"/>
      <c r="C165" s="26"/>
      <c r="D165" s="31"/>
      <c r="E165" s="24"/>
      <c r="F165" s="17"/>
      <c r="G165" s="25"/>
      <c r="H165" s="25"/>
      <c r="I165" s="25"/>
      <c r="J165" s="26"/>
      <c r="K165" s="26"/>
      <c r="L165" s="26"/>
      <c r="M165" s="27"/>
      <c r="N165" s="27"/>
      <c r="O165" s="27"/>
      <c r="Q165" s="27"/>
      <c r="R165" s="27"/>
      <c r="S165" s="16"/>
      <c r="T165" s="27"/>
      <c r="U165" s="27"/>
    </row>
    <row r="166" spans="1:21">
      <c r="B166" s="22"/>
      <c r="C166" s="26"/>
      <c r="D166" s="31"/>
      <c r="E166" s="24"/>
      <c r="F166" s="17"/>
      <c r="G166" s="25"/>
      <c r="H166" s="25"/>
      <c r="I166" s="25"/>
      <c r="J166" s="26"/>
      <c r="K166" s="26"/>
      <c r="L166" s="26"/>
      <c r="M166" s="27"/>
      <c r="N166" s="27"/>
      <c r="O166" s="27"/>
      <c r="Q166" s="27"/>
      <c r="R166" s="27"/>
      <c r="S166" s="16"/>
      <c r="T166" s="27"/>
      <c r="U166" s="27"/>
    </row>
    <row r="167" spans="1:21">
      <c r="B167" s="22"/>
      <c r="C167" s="26"/>
      <c r="D167" s="29"/>
      <c r="E167" s="24"/>
      <c r="F167" s="17"/>
      <c r="G167" s="25"/>
      <c r="H167" s="25"/>
      <c r="I167" s="25"/>
      <c r="J167" s="26"/>
      <c r="K167" s="26"/>
      <c r="L167" s="26"/>
      <c r="M167" s="27"/>
      <c r="N167" s="27"/>
      <c r="O167" s="27"/>
      <c r="Q167" s="27"/>
      <c r="R167" s="27"/>
      <c r="S167" s="16"/>
      <c r="T167" s="27"/>
      <c r="U167" s="27"/>
    </row>
    <row r="168" spans="1:21">
      <c r="B168" s="22"/>
      <c r="C168" s="26"/>
      <c r="D168" s="29"/>
      <c r="E168" s="24"/>
      <c r="F168" s="17"/>
      <c r="G168" s="25"/>
      <c r="H168" s="25"/>
      <c r="I168" s="25"/>
      <c r="J168" s="26"/>
      <c r="K168" s="26"/>
      <c r="L168" s="26"/>
      <c r="M168" s="27"/>
      <c r="N168" s="27"/>
      <c r="O168" s="27"/>
      <c r="Q168" s="27"/>
      <c r="R168" s="27"/>
      <c r="S168" s="16"/>
      <c r="T168" s="27"/>
      <c r="U168" s="27"/>
    </row>
    <row r="169" spans="1:21">
      <c r="B169" s="22"/>
      <c r="C169" s="26"/>
      <c r="D169" s="29"/>
      <c r="E169" s="24"/>
      <c r="F169" s="17"/>
      <c r="G169" s="25"/>
      <c r="H169" s="25"/>
      <c r="I169" s="25"/>
      <c r="J169" s="26"/>
      <c r="K169" s="26"/>
      <c r="L169" s="26"/>
      <c r="M169" s="27"/>
      <c r="N169" s="27"/>
      <c r="O169" s="27"/>
      <c r="Q169" s="27"/>
      <c r="R169" s="27"/>
      <c r="S169" s="16"/>
      <c r="T169" s="27"/>
      <c r="U169" s="27"/>
    </row>
    <row r="170" spans="1:21">
      <c r="B170" s="22"/>
      <c r="C170" s="26"/>
      <c r="D170" s="29"/>
      <c r="E170" s="24"/>
      <c r="F170" s="17"/>
      <c r="G170" s="25"/>
      <c r="H170" s="25"/>
      <c r="I170" s="25"/>
      <c r="J170" s="26"/>
      <c r="K170" s="26"/>
      <c r="L170" s="26"/>
      <c r="M170" s="27"/>
      <c r="N170" s="27"/>
      <c r="O170" s="27"/>
      <c r="Q170" s="27"/>
      <c r="R170" s="27"/>
      <c r="S170" s="16"/>
      <c r="T170" s="27"/>
      <c r="U170" s="27"/>
    </row>
    <row r="171" spans="1:21">
      <c r="B171" s="22"/>
      <c r="C171" s="26"/>
      <c r="D171" s="29"/>
      <c r="E171" s="24"/>
      <c r="F171" s="17"/>
      <c r="G171" s="25"/>
      <c r="H171" s="25"/>
      <c r="I171" s="25"/>
      <c r="J171" s="26"/>
      <c r="K171" s="26"/>
      <c r="L171" s="26"/>
      <c r="M171" s="27"/>
      <c r="N171" s="27"/>
      <c r="O171" s="27"/>
      <c r="Q171" s="27"/>
      <c r="R171" s="27"/>
      <c r="S171" s="16"/>
      <c r="T171" s="27"/>
      <c r="U171" s="27"/>
    </row>
    <row r="172" spans="1:21">
      <c r="B172" s="22"/>
      <c r="C172" s="26"/>
      <c r="D172" s="29"/>
      <c r="E172" s="24"/>
      <c r="F172" s="17"/>
      <c r="G172" s="25"/>
      <c r="H172" s="25"/>
      <c r="I172" s="25"/>
      <c r="J172" s="26"/>
      <c r="K172" s="26"/>
      <c r="L172" s="26"/>
      <c r="M172" s="27"/>
      <c r="N172" s="27"/>
      <c r="O172" s="27"/>
      <c r="Q172" s="27"/>
      <c r="R172" s="27"/>
      <c r="S172" s="16"/>
      <c r="T172" s="27"/>
      <c r="U172" s="27"/>
    </row>
    <row r="173" spans="1:21">
      <c r="B173" s="22"/>
      <c r="C173" s="26"/>
      <c r="D173" s="29"/>
      <c r="E173" s="24"/>
      <c r="F173" s="17"/>
      <c r="G173" s="25"/>
      <c r="H173" s="25"/>
      <c r="I173" s="25"/>
      <c r="J173" s="26"/>
      <c r="K173" s="26"/>
      <c r="L173" s="26"/>
      <c r="M173" s="27"/>
      <c r="N173" s="27"/>
      <c r="O173" s="27"/>
      <c r="Q173" s="27"/>
      <c r="R173" s="27"/>
      <c r="S173" s="16"/>
      <c r="T173" s="27"/>
      <c r="U173" s="27"/>
    </row>
    <row r="174" spans="1:21">
      <c r="B174" s="22"/>
      <c r="C174" s="26"/>
      <c r="D174" s="29"/>
      <c r="E174" s="24"/>
      <c r="F174" s="17"/>
      <c r="G174" s="25"/>
      <c r="H174" s="25"/>
      <c r="I174" s="25"/>
      <c r="J174" s="26"/>
      <c r="K174" s="26"/>
      <c r="L174" s="26"/>
      <c r="M174" s="27"/>
      <c r="N174" s="27"/>
      <c r="O174" s="27"/>
      <c r="Q174" s="27"/>
      <c r="R174" s="27"/>
      <c r="S174" s="16"/>
      <c r="T174" s="27"/>
      <c r="U174" s="27"/>
    </row>
    <row r="175" spans="1:21">
      <c r="B175" s="22"/>
      <c r="C175" s="26"/>
      <c r="D175" s="29"/>
      <c r="E175" s="24"/>
      <c r="F175" s="17"/>
      <c r="G175" s="25"/>
      <c r="H175" s="25"/>
      <c r="I175" s="25"/>
      <c r="J175" s="26"/>
      <c r="K175" s="26"/>
      <c r="L175" s="26"/>
      <c r="M175" s="27"/>
      <c r="N175" s="27"/>
      <c r="O175" s="27"/>
      <c r="Q175" s="27"/>
      <c r="R175" s="27"/>
      <c r="S175" s="16"/>
      <c r="T175" s="27"/>
      <c r="U175" s="27"/>
    </row>
    <row r="176" spans="1:21">
      <c r="B176" s="22"/>
      <c r="C176" s="26"/>
      <c r="D176" s="29"/>
      <c r="E176" s="24"/>
      <c r="F176" s="17"/>
      <c r="G176" s="25"/>
      <c r="H176" s="25"/>
      <c r="I176" s="25"/>
      <c r="J176" s="26"/>
      <c r="K176" s="26"/>
      <c r="L176" s="26"/>
      <c r="M176" s="27"/>
      <c r="N176" s="27"/>
      <c r="O176" s="27"/>
      <c r="Q176" s="27"/>
      <c r="R176" s="27"/>
      <c r="S176" s="16"/>
      <c r="T176" s="27"/>
      <c r="U176" s="27"/>
    </row>
    <row r="177" spans="1:21">
      <c r="B177" s="22"/>
      <c r="C177" s="26"/>
      <c r="D177" s="29"/>
      <c r="E177" s="24"/>
      <c r="F177" s="17"/>
      <c r="G177" s="25"/>
      <c r="H177" s="25"/>
      <c r="I177" s="25"/>
      <c r="J177" s="26"/>
      <c r="K177" s="26"/>
      <c r="L177" s="26"/>
      <c r="M177" s="27"/>
      <c r="N177" s="27"/>
      <c r="O177" s="27"/>
      <c r="Q177" s="27"/>
      <c r="R177" s="27"/>
      <c r="S177" s="16"/>
      <c r="T177" s="27"/>
      <c r="U177" s="27"/>
    </row>
    <row r="178" spans="1:21">
      <c r="B178" s="22"/>
      <c r="C178" s="26"/>
      <c r="D178" s="29"/>
      <c r="E178" s="24"/>
      <c r="F178" s="17"/>
      <c r="G178" s="25"/>
      <c r="H178" s="25"/>
      <c r="I178" s="25"/>
      <c r="J178" s="26"/>
      <c r="K178" s="26"/>
      <c r="L178" s="26"/>
      <c r="M178" s="27"/>
      <c r="N178" s="27"/>
      <c r="O178" s="27"/>
      <c r="Q178" s="27"/>
      <c r="R178" s="27"/>
      <c r="S178" s="16"/>
      <c r="T178" s="27"/>
      <c r="U178" s="27"/>
    </row>
    <row r="179" spans="1:21">
      <c r="B179" s="22"/>
      <c r="C179" s="26"/>
      <c r="D179" s="29"/>
      <c r="E179" s="24"/>
      <c r="F179" s="17"/>
      <c r="G179" s="25"/>
      <c r="H179" s="25"/>
      <c r="I179" s="25"/>
      <c r="J179" s="26"/>
      <c r="K179" s="26"/>
      <c r="L179" s="26"/>
      <c r="M179" s="27"/>
      <c r="N179" s="27"/>
      <c r="O179" s="27"/>
      <c r="Q179" s="27"/>
      <c r="R179" s="27"/>
      <c r="S179" s="16"/>
      <c r="T179" s="27"/>
      <c r="U179" s="27"/>
    </row>
    <row r="180" spans="1:21">
      <c r="B180" s="22"/>
      <c r="C180" s="26"/>
    </row>
    <row r="181" spans="1:21">
      <c r="B181" s="11"/>
      <c r="D181" s="33"/>
    </row>
    <row r="182" spans="1:21">
      <c r="D182" s="26"/>
    </row>
    <row r="183" spans="1:21">
      <c r="D183" s="26"/>
    </row>
    <row r="184" spans="1:21">
      <c r="D184" s="26"/>
    </row>
    <row r="186" spans="1:21">
      <c r="B186" s="18"/>
      <c r="C186" s="18"/>
      <c r="D186" s="18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</row>
    <row r="187" spans="1:21">
      <c r="B187" s="20"/>
      <c r="C187" s="21"/>
      <c r="D187" s="21"/>
      <c r="E187" s="21"/>
      <c r="F187" s="20"/>
      <c r="G187" s="20"/>
      <c r="H187" s="20"/>
      <c r="I187" s="20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>
      <c r="A188" s="15"/>
      <c r="B188" s="22"/>
      <c r="C188" s="23"/>
      <c r="D188" s="23"/>
      <c r="E188" s="24"/>
      <c r="F188" s="17"/>
      <c r="G188" s="25"/>
      <c r="H188" s="25"/>
      <c r="I188" s="25"/>
      <c r="J188" s="26"/>
      <c r="K188" s="26"/>
      <c r="L188" s="26"/>
      <c r="M188" s="27"/>
      <c r="N188" s="27"/>
      <c r="O188" s="27"/>
      <c r="P188" s="27"/>
      <c r="Q188" s="27"/>
      <c r="R188" s="27"/>
      <c r="S188" s="16"/>
      <c r="T188" s="27"/>
      <c r="U188" s="27"/>
    </row>
    <row r="189" spans="1:21">
      <c r="B189" s="22"/>
      <c r="C189" s="23"/>
      <c r="D189" s="29"/>
      <c r="E189" s="24"/>
      <c r="F189" s="17"/>
      <c r="G189" s="25"/>
      <c r="H189" s="25"/>
      <c r="I189" s="25"/>
      <c r="J189" s="26"/>
      <c r="K189" s="26"/>
      <c r="L189" s="26"/>
      <c r="M189" s="27"/>
      <c r="N189" s="27"/>
      <c r="O189" s="27"/>
      <c r="P189" s="27"/>
      <c r="Q189" s="27"/>
      <c r="R189" s="27"/>
      <c r="S189" s="16"/>
      <c r="T189" s="27"/>
      <c r="U189" s="27"/>
    </row>
    <row r="190" spans="1:21">
      <c r="B190" s="22"/>
      <c r="C190" s="23"/>
      <c r="D190" s="29"/>
      <c r="E190" s="24"/>
      <c r="F190" s="17"/>
      <c r="G190" s="25"/>
      <c r="H190" s="25"/>
      <c r="I190" s="25"/>
      <c r="J190" s="26"/>
      <c r="K190" s="26"/>
      <c r="L190" s="26"/>
      <c r="M190" s="27"/>
      <c r="N190" s="27"/>
      <c r="O190" s="27"/>
      <c r="P190" s="27"/>
      <c r="Q190" s="27"/>
      <c r="R190" s="27"/>
      <c r="S190" s="16"/>
      <c r="T190" s="27"/>
      <c r="U190" s="27"/>
    </row>
    <row r="191" spans="1:21">
      <c r="B191" s="22"/>
      <c r="C191" s="23"/>
      <c r="D191" s="29"/>
      <c r="E191" s="24"/>
      <c r="F191" s="17"/>
      <c r="G191" s="25"/>
      <c r="H191" s="25"/>
      <c r="I191" s="25"/>
      <c r="J191" s="26"/>
      <c r="K191" s="26"/>
      <c r="L191" s="26"/>
      <c r="M191" s="27"/>
      <c r="N191" s="27"/>
      <c r="O191" s="27"/>
      <c r="P191" s="27"/>
      <c r="Q191" s="27"/>
      <c r="R191" s="27"/>
      <c r="S191" s="16"/>
      <c r="T191" s="27"/>
      <c r="U191" s="27"/>
    </row>
    <row r="192" spans="1:21">
      <c r="B192" s="22"/>
      <c r="C192" s="23"/>
      <c r="D192" s="29"/>
      <c r="E192" s="24"/>
      <c r="F192" s="17"/>
      <c r="G192" s="25"/>
      <c r="H192" s="25"/>
      <c r="I192" s="25"/>
      <c r="J192" s="26"/>
      <c r="K192" s="26"/>
      <c r="L192" s="26"/>
      <c r="M192" s="27"/>
      <c r="N192" s="27"/>
      <c r="O192" s="27"/>
      <c r="P192" s="27"/>
      <c r="Q192" s="27"/>
      <c r="R192" s="27"/>
      <c r="S192" s="16"/>
      <c r="T192" s="27"/>
      <c r="U192" s="27"/>
    </row>
    <row r="193" spans="2:21">
      <c r="B193" s="22"/>
      <c r="C193" s="23"/>
      <c r="D193" s="29"/>
      <c r="E193" s="24"/>
      <c r="F193" s="17"/>
      <c r="G193" s="25"/>
      <c r="H193" s="25"/>
      <c r="I193" s="25"/>
      <c r="J193" s="26"/>
      <c r="K193" s="26"/>
      <c r="L193" s="26"/>
      <c r="M193" s="27"/>
      <c r="N193" s="27"/>
      <c r="O193" s="27"/>
      <c r="P193" s="27"/>
      <c r="Q193" s="27"/>
      <c r="R193" s="27"/>
      <c r="S193" s="16"/>
      <c r="T193" s="27"/>
      <c r="U193" s="27"/>
    </row>
    <row r="194" spans="2:21">
      <c r="B194" s="22"/>
      <c r="C194" s="23"/>
      <c r="D194" s="29"/>
      <c r="E194" s="24"/>
      <c r="F194" s="17"/>
      <c r="G194" s="25"/>
      <c r="H194" s="25"/>
      <c r="I194" s="25"/>
      <c r="J194" s="26"/>
      <c r="K194" s="26"/>
      <c r="L194" s="26"/>
      <c r="M194" s="27"/>
      <c r="N194" s="27"/>
      <c r="O194" s="27"/>
      <c r="P194" s="27"/>
      <c r="Q194" s="27"/>
      <c r="R194" s="27"/>
      <c r="S194" s="16"/>
      <c r="T194" s="27"/>
      <c r="U194" s="27"/>
    </row>
    <row r="195" spans="2:21">
      <c r="B195" s="22"/>
      <c r="C195" s="23"/>
      <c r="D195" s="29"/>
      <c r="E195" s="24"/>
      <c r="F195" s="17"/>
      <c r="G195" s="25"/>
      <c r="H195" s="25"/>
      <c r="I195" s="25"/>
      <c r="J195" s="26"/>
      <c r="K195" s="26"/>
      <c r="L195" s="26"/>
      <c r="M195" s="27"/>
      <c r="N195" s="27"/>
      <c r="O195" s="27"/>
      <c r="P195" s="27"/>
      <c r="Q195" s="27"/>
      <c r="R195" s="27"/>
      <c r="S195" s="16"/>
      <c r="T195" s="27"/>
      <c r="U195" s="27"/>
    </row>
    <row r="196" spans="2:21">
      <c r="B196" s="22"/>
      <c r="C196" s="23"/>
      <c r="D196" s="29"/>
      <c r="E196" s="24"/>
      <c r="F196" s="17"/>
      <c r="G196" s="25"/>
      <c r="H196" s="25"/>
      <c r="I196" s="25"/>
      <c r="J196" s="26"/>
      <c r="K196" s="26"/>
      <c r="L196" s="26"/>
      <c r="M196" s="27"/>
      <c r="N196" s="27"/>
      <c r="O196" s="27"/>
      <c r="P196" s="27"/>
      <c r="Q196" s="27"/>
      <c r="R196" s="27"/>
      <c r="S196" s="16"/>
      <c r="T196" s="27"/>
      <c r="U196" s="27"/>
    </row>
    <row r="197" spans="2:21">
      <c r="B197" s="22"/>
      <c r="C197" s="23"/>
      <c r="D197" s="29"/>
      <c r="E197" s="24"/>
      <c r="F197" s="17"/>
      <c r="G197" s="25"/>
      <c r="H197" s="25"/>
      <c r="I197" s="25"/>
      <c r="J197" s="26"/>
      <c r="K197" s="26"/>
      <c r="L197" s="26"/>
      <c r="M197" s="27"/>
      <c r="N197" s="27"/>
      <c r="O197" s="27"/>
      <c r="P197" s="27"/>
      <c r="Q197" s="27"/>
      <c r="R197" s="27"/>
      <c r="S197" s="16"/>
      <c r="T197" s="27"/>
      <c r="U197" s="27"/>
    </row>
    <row r="198" spans="2:21">
      <c r="B198" s="22"/>
      <c r="C198" s="23"/>
      <c r="D198" s="29"/>
      <c r="E198" s="24"/>
      <c r="F198" s="17"/>
      <c r="G198" s="25"/>
      <c r="H198" s="25"/>
      <c r="I198" s="25"/>
      <c r="J198" s="26"/>
      <c r="K198" s="26"/>
      <c r="L198" s="26"/>
      <c r="M198" s="27"/>
      <c r="N198" s="27"/>
      <c r="O198" s="27"/>
      <c r="P198" s="27"/>
      <c r="Q198" s="27"/>
      <c r="R198" s="27"/>
      <c r="S198" s="16"/>
      <c r="T198" s="27"/>
      <c r="U198" s="27"/>
    </row>
    <row r="199" spans="2:21">
      <c r="B199" s="22"/>
      <c r="C199" s="23"/>
      <c r="D199" s="29"/>
      <c r="E199" s="24"/>
      <c r="F199" s="17"/>
      <c r="G199" s="25"/>
      <c r="H199" s="25"/>
      <c r="I199" s="25"/>
      <c r="J199" s="26"/>
      <c r="K199" s="26"/>
      <c r="L199" s="26"/>
      <c r="M199" s="27"/>
      <c r="N199" s="27"/>
      <c r="O199" s="27"/>
      <c r="P199" s="27"/>
      <c r="Q199" s="27"/>
      <c r="R199" s="27"/>
      <c r="S199" s="16"/>
      <c r="T199" s="27"/>
      <c r="U199" s="27"/>
    </row>
    <row r="200" spans="2:21">
      <c r="B200" s="22"/>
      <c r="C200" s="23"/>
      <c r="D200" s="29"/>
      <c r="E200" s="24"/>
      <c r="F200" s="17"/>
      <c r="G200" s="25"/>
      <c r="H200" s="25"/>
      <c r="I200" s="25"/>
      <c r="J200" s="26"/>
      <c r="K200" s="26"/>
      <c r="L200" s="26"/>
      <c r="M200" s="27"/>
      <c r="N200" s="27"/>
      <c r="O200" s="27"/>
      <c r="P200" s="27"/>
      <c r="Q200" s="27"/>
      <c r="R200" s="27"/>
      <c r="S200" s="16"/>
      <c r="T200" s="27"/>
      <c r="U200" s="27"/>
    </row>
    <row r="201" spans="2:21">
      <c r="B201" s="22"/>
      <c r="C201" s="23"/>
      <c r="D201" s="29"/>
      <c r="E201" s="24"/>
      <c r="F201" s="17"/>
      <c r="G201" s="25"/>
      <c r="H201" s="25"/>
      <c r="I201" s="25"/>
      <c r="J201" s="26"/>
      <c r="K201" s="26"/>
      <c r="L201" s="26"/>
      <c r="M201" s="27"/>
      <c r="N201" s="27"/>
      <c r="O201" s="27"/>
      <c r="P201" s="27"/>
      <c r="Q201" s="27"/>
      <c r="R201" s="27"/>
      <c r="S201" s="16"/>
      <c r="T201" s="27"/>
      <c r="U201" s="27"/>
    </row>
    <row r="202" spans="2:21">
      <c r="B202" s="22"/>
      <c r="C202" s="23"/>
      <c r="D202" s="29"/>
      <c r="E202" s="24"/>
      <c r="F202" s="17"/>
      <c r="G202" s="25"/>
      <c r="H202" s="25"/>
      <c r="I202" s="25"/>
      <c r="J202" s="26"/>
      <c r="K202" s="26"/>
      <c r="L202" s="26"/>
      <c r="M202" s="27"/>
      <c r="N202" s="27"/>
      <c r="O202" s="27"/>
      <c r="P202" s="27"/>
      <c r="Q202" s="27"/>
      <c r="R202" s="27"/>
      <c r="S202" s="16"/>
      <c r="T202" s="27"/>
      <c r="U202" s="27"/>
    </row>
    <row r="203" spans="2:21">
      <c r="B203" s="22"/>
      <c r="C203" s="23"/>
      <c r="D203" s="29"/>
      <c r="E203" s="24"/>
      <c r="F203" s="17"/>
      <c r="G203" s="25"/>
      <c r="H203" s="25"/>
      <c r="I203" s="25"/>
      <c r="J203" s="26"/>
      <c r="K203" s="26"/>
      <c r="L203" s="26"/>
      <c r="M203" s="27"/>
      <c r="N203" s="27"/>
      <c r="O203" s="27"/>
      <c r="P203" s="27"/>
      <c r="Q203" s="27"/>
      <c r="R203" s="27"/>
      <c r="S203" s="16"/>
      <c r="T203" s="27"/>
      <c r="U203" s="27"/>
    </row>
    <row r="204" spans="2:21">
      <c r="B204" s="22"/>
      <c r="C204" s="23"/>
      <c r="D204" s="29"/>
      <c r="E204" s="24"/>
      <c r="F204" s="17"/>
      <c r="G204" s="25"/>
      <c r="H204" s="25"/>
      <c r="I204" s="25"/>
      <c r="J204" s="26"/>
      <c r="K204" s="26"/>
      <c r="L204" s="26"/>
      <c r="M204" s="27"/>
      <c r="N204" s="27"/>
      <c r="O204" s="27"/>
      <c r="P204" s="27"/>
      <c r="Q204" s="27"/>
      <c r="R204" s="27"/>
      <c r="S204" s="16"/>
      <c r="T204" s="27"/>
      <c r="U204" s="27"/>
    </row>
    <row r="205" spans="2:21">
      <c r="B205" s="22"/>
      <c r="C205" s="23"/>
      <c r="D205" s="29"/>
      <c r="E205" s="24"/>
      <c r="F205" s="17"/>
      <c r="G205" s="25"/>
      <c r="H205" s="25"/>
      <c r="I205" s="25"/>
      <c r="J205" s="26"/>
      <c r="K205" s="26"/>
      <c r="L205" s="26"/>
      <c r="M205" s="27"/>
      <c r="N205" s="27"/>
      <c r="O205" s="27"/>
      <c r="P205" s="27"/>
      <c r="Q205" s="27"/>
      <c r="R205" s="27"/>
      <c r="S205" s="16"/>
      <c r="T205" s="27"/>
      <c r="U205" s="27"/>
    </row>
    <row r="206" spans="2:21">
      <c r="B206" s="22"/>
      <c r="C206" s="23"/>
      <c r="D206" s="29"/>
      <c r="E206" s="24"/>
      <c r="F206" s="17"/>
      <c r="G206" s="25"/>
      <c r="H206" s="25"/>
      <c r="I206" s="25"/>
      <c r="J206" s="26"/>
      <c r="K206" s="26"/>
      <c r="L206" s="26"/>
      <c r="M206" s="27"/>
      <c r="N206" s="27"/>
      <c r="O206" s="27"/>
      <c r="P206" s="27"/>
      <c r="Q206" s="27"/>
      <c r="R206" s="27"/>
      <c r="S206" s="16"/>
      <c r="T206" s="27"/>
      <c r="U206" s="27"/>
    </row>
    <row r="207" spans="2:21">
      <c r="B207" s="22"/>
      <c r="C207" s="23"/>
      <c r="D207" s="29"/>
      <c r="E207" s="24"/>
      <c r="F207" s="17"/>
      <c r="G207" s="25"/>
      <c r="H207" s="25"/>
      <c r="I207" s="25"/>
      <c r="J207" s="26"/>
      <c r="K207" s="26"/>
      <c r="L207" s="26"/>
      <c r="M207" s="27"/>
      <c r="N207" s="27"/>
      <c r="O207" s="27"/>
      <c r="P207" s="27"/>
      <c r="Q207" s="27"/>
      <c r="R207" s="27"/>
      <c r="S207" s="16"/>
      <c r="T207" s="27"/>
      <c r="U207" s="27"/>
    </row>
    <row r="209" spans="1:21">
      <c r="B209" s="18"/>
      <c r="C209" s="18"/>
      <c r="D209" s="18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</row>
    <row r="210" spans="1:21">
      <c r="C210" s="21"/>
      <c r="D210" s="21"/>
      <c r="E210" s="21"/>
      <c r="F210" s="20"/>
      <c r="G210" s="20"/>
      <c r="H210" s="20"/>
      <c r="I210" s="20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>
      <c r="A211" s="15"/>
      <c r="B211" s="22"/>
      <c r="C211" s="23"/>
      <c r="D211" s="23"/>
      <c r="E211" s="24"/>
      <c r="F211" s="17"/>
      <c r="G211" s="25"/>
      <c r="H211" s="25"/>
      <c r="I211" s="25"/>
      <c r="J211" s="26"/>
      <c r="K211" s="26"/>
      <c r="L211" s="26"/>
      <c r="M211" s="27"/>
      <c r="N211" s="27"/>
      <c r="O211" s="27"/>
      <c r="P211" s="27"/>
      <c r="Q211" s="27"/>
      <c r="R211" s="27"/>
      <c r="S211" s="16"/>
      <c r="T211" s="27"/>
      <c r="U211" s="27"/>
    </row>
    <row r="212" spans="1:21">
      <c r="B212" s="22"/>
      <c r="C212" s="30"/>
      <c r="D212" s="29"/>
      <c r="E212" s="24"/>
      <c r="F212" s="17"/>
      <c r="G212" s="25"/>
      <c r="H212" s="25"/>
      <c r="I212" s="25"/>
      <c r="J212" s="26"/>
      <c r="K212" s="26"/>
      <c r="L212" s="26"/>
      <c r="M212" s="27"/>
      <c r="N212" s="27"/>
      <c r="O212" s="27"/>
      <c r="Q212" s="27"/>
      <c r="R212" s="27"/>
      <c r="S212" s="16"/>
      <c r="T212" s="27"/>
      <c r="U212" s="27"/>
    </row>
    <row r="213" spans="1:21">
      <c r="B213" s="22"/>
      <c r="C213" s="26"/>
      <c r="D213" s="31"/>
      <c r="E213" s="24"/>
      <c r="F213" s="17"/>
      <c r="G213" s="25"/>
      <c r="H213" s="25"/>
      <c r="I213" s="25"/>
      <c r="J213" s="26"/>
      <c r="K213" s="26"/>
      <c r="L213" s="26"/>
      <c r="M213" s="27"/>
      <c r="N213" s="27"/>
      <c r="O213" s="27"/>
      <c r="Q213" s="27"/>
      <c r="R213" s="27"/>
      <c r="S213" s="16"/>
      <c r="T213" s="27"/>
      <c r="U213" s="27"/>
    </row>
    <row r="214" spans="1:21">
      <c r="B214" s="22"/>
      <c r="C214" s="40"/>
      <c r="D214" s="31"/>
      <c r="E214" s="41"/>
      <c r="F214" s="42"/>
      <c r="G214" s="43"/>
      <c r="H214" s="43"/>
      <c r="I214" s="43"/>
      <c r="J214" s="40"/>
      <c r="K214" s="40"/>
      <c r="L214" s="40"/>
      <c r="M214" s="44"/>
      <c r="N214" s="44"/>
      <c r="O214" s="44"/>
      <c r="P214" s="45"/>
      <c r="Q214" s="44"/>
      <c r="R214" s="44"/>
      <c r="S214" s="46"/>
      <c r="T214" s="44"/>
      <c r="U214" s="27"/>
    </row>
    <row r="215" spans="1:21">
      <c r="B215" s="22"/>
      <c r="C215" s="40"/>
      <c r="D215" s="31"/>
      <c r="E215" s="41"/>
      <c r="F215" s="42"/>
      <c r="G215" s="43"/>
      <c r="H215" s="43"/>
      <c r="I215" s="43"/>
      <c r="J215" s="40"/>
      <c r="K215" s="40"/>
      <c r="L215" s="40"/>
      <c r="M215" s="44"/>
      <c r="N215" s="44"/>
      <c r="O215" s="44"/>
      <c r="P215" s="45"/>
      <c r="Q215" s="44"/>
      <c r="R215" s="44"/>
      <c r="S215" s="46"/>
      <c r="T215" s="44"/>
      <c r="U215" s="27"/>
    </row>
    <row r="216" spans="1:21">
      <c r="B216" s="22"/>
      <c r="C216" s="26"/>
      <c r="D216" s="31"/>
      <c r="E216" s="24"/>
      <c r="F216" s="17"/>
      <c r="G216" s="25"/>
      <c r="H216" s="25"/>
      <c r="I216" s="25"/>
      <c r="J216" s="26"/>
      <c r="K216" s="26"/>
      <c r="L216" s="26"/>
      <c r="M216" s="27"/>
      <c r="N216" s="27"/>
      <c r="O216" s="27"/>
      <c r="Q216" s="27"/>
      <c r="R216" s="27"/>
      <c r="S216" s="16"/>
      <c r="T216" s="27"/>
      <c r="U216" s="27"/>
    </row>
    <row r="217" spans="1:21">
      <c r="B217" s="22"/>
      <c r="C217" s="26"/>
      <c r="D217" s="29"/>
      <c r="E217" s="24"/>
      <c r="F217" s="17"/>
      <c r="G217" s="25"/>
      <c r="H217" s="25"/>
      <c r="I217" s="25"/>
      <c r="J217" s="26"/>
      <c r="K217" s="26"/>
      <c r="L217" s="26"/>
      <c r="M217" s="27"/>
      <c r="N217" s="27"/>
      <c r="O217" s="27"/>
      <c r="Q217" s="27"/>
      <c r="R217" s="27"/>
      <c r="S217" s="16"/>
      <c r="T217" s="27"/>
      <c r="U217" s="27"/>
    </row>
    <row r="218" spans="1:21">
      <c r="B218" s="22"/>
      <c r="C218" s="26"/>
      <c r="D218" s="29"/>
      <c r="E218" s="24"/>
      <c r="F218" s="17"/>
      <c r="G218" s="25"/>
      <c r="H218" s="25"/>
      <c r="I218" s="25"/>
      <c r="J218" s="26"/>
      <c r="K218" s="26"/>
      <c r="L218" s="26"/>
      <c r="M218" s="27"/>
      <c r="N218" s="27"/>
      <c r="O218" s="27"/>
      <c r="Q218" s="27"/>
      <c r="R218" s="27"/>
      <c r="S218" s="16"/>
      <c r="T218" s="27"/>
      <c r="U218" s="27"/>
    </row>
    <row r="219" spans="1:21">
      <c r="B219" s="22"/>
      <c r="C219" s="26"/>
      <c r="D219" s="29"/>
      <c r="E219" s="24"/>
      <c r="F219" s="17"/>
      <c r="G219" s="25"/>
      <c r="H219" s="25"/>
      <c r="I219" s="25"/>
      <c r="J219" s="26"/>
      <c r="K219" s="26"/>
      <c r="L219" s="26"/>
      <c r="M219" s="27"/>
      <c r="N219" s="27"/>
      <c r="O219" s="27"/>
      <c r="Q219" s="27"/>
      <c r="R219" s="27"/>
      <c r="S219" s="16"/>
      <c r="T219" s="27"/>
      <c r="U219" s="27"/>
    </row>
    <row r="220" spans="1:21">
      <c r="B220" s="22"/>
      <c r="C220" s="26"/>
      <c r="D220" s="29"/>
      <c r="E220" s="24"/>
      <c r="F220" s="17"/>
      <c r="G220" s="25"/>
      <c r="H220" s="25"/>
      <c r="I220" s="25"/>
      <c r="J220" s="26"/>
      <c r="K220" s="26"/>
      <c r="L220" s="26"/>
      <c r="M220" s="27"/>
      <c r="N220" s="27"/>
      <c r="O220" s="27"/>
      <c r="Q220" s="27"/>
      <c r="R220" s="27"/>
      <c r="S220" s="16"/>
      <c r="T220" s="27"/>
      <c r="U220" s="27"/>
    </row>
    <row r="221" spans="1:21">
      <c r="B221" s="22"/>
      <c r="C221" s="26"/>
      <c r="D221" s="29"/>
      <c r="E221" s="24"/>
      <c r="F221" s="17"/>
      <c r="G221" s="25"/>
      <c r="H221" s="25"/>
      <c r="I221" s="25"/>
      <c r="J221" s="26"/>
      <c r="K221" s="26"/>
      <c r="L221" s="26"/>
      <c r="M221" s="27"/>
      <c r="N221" s="27"/>
      <c r="O221" s="27"/>
      <c r="Q221" s="27"/>
      <c r="R221" s="27"/>
      <c r="S221" s="16"/>
      <c r="T221" s="27"/>
      <c r="U221" s="27"/>
    </row>
    <row r="222" spans="1:21">
      <c r="B222" s="22"/>
      <c r="C222" s="26"/>
      <c r="D222" s="29"/>
      <c r="E222" s="24"/>
      <c r="F222" s="17"/>
      <c r="G222" s="25"/>
      <c r="H222" s="25"/>
      <c r="I222" s="25"/>
      <c r="J222" s="26"/>
      <c r="K222" s="26"/>
      <c r="L222" s="26"/>
      <c r="M222" s="27"/>
      <c r="N222" s="27"/>
      <c r="O222" s="27"/>
      <c r="Q222" s="27"/>
      <c r="R222" s="27"/>
      <c r="S222" s="16"/>
      <c r="T222" s="27"/>
      <c r="U222" s="27"/>
    </row>
    <row r="223" spans="1:21">
      <c r="B223" s="22"/>
      <c r="C223" s="26"/>
      <c r="D223" s="29"/>
      <c r="E223" s="24"/>
      <c r="F223" s="17"/>
      <c r="G223" s="25"/>
      <c r="H223" s="25"/>
      <c r="I223" s="25"/>
      <c r="J223" s="26"/>
      <c r="K223" s="26"/>
      <c r="L223" s="26"/>
      <c r="M223" s="27"/>
      <c r="N223" s="27"/>
      <c r="O223" s="27"/>
      <c r="Q223" s="27"/>
      <c r="R223" s="27"/>
      <c r="S223" s="16"/>
      <c r="T223" s="27"/>
      <c r="U223" s="27"/>
    </row>
    <row r="224" spans="1:21">
      <c r="B224" s="22"/>
      <c r="C224" s="26"/>
      <c r="D224" s="29"/>
      <c r="E224" s="24"/>
      <c r="F224" s="17"/>
      <c r="G224" s="25"/>
      <c r="H224" s="25"/>
      <c r="I224" s="25"/>
      <c r="J224" s="26"/>
      <c r="K224" s="26"/>
      <c r="L224" s="26"/>
      <c r="M224" s="27"/>
      <c r="N224" s="27"/>
      <c r="O224" s="27"/>
      <c r="Q224" s="27"/>
      <c r="R224" s="27"/>
      <c r="S224" s="16"/>
      <c r="T224" s="27"/>
      <c r="U224" s="27"/>
    </row>
    <row r="225" spans="1:21">
      <c r="B225" s="22"/>
      <c r="C225" s="26"/>
      <c r="D225" s="29"/>
      <c r="E225" s="24"/>
      <c r="F225" s="17"/>
      <c r="G225" s="25"/>
      <c r="H225" s="25"/>
      <c r="I225" s="25"/>
      <c r="J225" s="26"/>
      <c r="K225" s="26"/>
      <c r="L225" s="26"/>
      <c r="M225" s="27"/>
      <c r="N225" s="27"/>
      <c r="O225" s="27"/>
      <c r="Q225" s="27"/>
      <c r="R225" s="27"/>
      <c r="S225" s="16"/>
      <c r="T225" s="27"/>
      <c r="U225" s="27"/>
    </row>
    <row r="226" spans="1:21">
      <c r="B226" s="22"/>
      <c r="C226" s="26"/>
      <c r="D226" s="29"/>
      <c r="E226" s="24"/>
      <c r="F226" s="17"/>
      <c r="G226" s="25"/>
      <c r="H226" s="25"/>
      <c r="I226" s="25"/>
      <c r="J226" s="26"/>
      <c r="K226" s="26"/>
      <c r="L226" s="26"/>
      <c r="M226" s="27"/>
      <c r="N226" s="27"/>
      <c r="O226" s="27"/>
      <c r="Q226" s="27"/>
      <c r="R226" s="27"/>
      <c r="S226" s="16"/>
      <c r="T226" s="27"/>
      <c r="U226" s="27"/>
    </row>
    <row r="227" spans="1:21">
      <c r="B227" s="22"/>
      <c r="C227" s="26"/>
      <c r="D227" s="29"/>
      <c r="E227" s="24"/>
      <c r="F227" s="17"/>
      <c r="G227" s="25"/>
      <c r="H227" s="25"/>
      <c r="I227" s="25"/>
      <c r="J227" s="26"/>
      <c r="K227" s="26"/>
      <c r="L227" s="26"/>
      <c r="M227" s="27"/>
      <c r="N227" s="27"/>
      <c r="O227" s="27"/>
      <c r="Q227" s="27"/>
      <c r="R227" s="27"/>
      <c r="S227" s="16"/>
      <c r="T227" s="27"/>
      <c r="U227" s="27"/>
    </row>
    <row r="228" spans="1:21">
      <c r="B228" s="22"/>
      <c r="C228" s="26"/>
      <c r="D228" s="29"/>
      <c r="E228" s="24"/>
      <c r="F228" s="17"/>
      <c r="G228" s="25"/>
      <c r="H228" s="25"/>
      <c r="I228" s="25"/>
      <c r="J228" s="26"/>
      <c r="K228" s="26"/>
      <c r="L228" s="26"/>
      <c r="M228" s="27"/>
      <c r="N228" s="27"/>
      <c r="O228" s="27"/>
      <c r="Q228" s="27"/>
      <c r="R228" s="27"/>
      <c r="S228" s="16"/>
      <c r="T228" s="27"/>
      <c r="U228" s="27"/>
    </row>
    <row r="229" spans="1:21">
      <c r="B229" s="22"/>
      <c r="C229" s="26"/>
      <c r="D229" s="29"/>
      <c r="E229" s="24"/>
      <c r="F229" s="17"/>
      <c r="G229" s="25"/>
      <c r="H229" s="25"/>
      <c r="I229" s="25"/>
      <c r="J229" s="26"/>
      <c r="K229" s="26"/>
      <c r="L229" s="26"/>
      <c r="M229" s="27"/>
      <c r="N229" s="27"/>
      <c r="O229" s="27"/>
      <c r="Q229" s="27"/>
      <c r="R229" s="27"/>
      <c r="S229" s="16"/>
      <c r="T229" s="27"/>
      <c r="U229" s="27"/>
    </row>
    <row r="230" spans="1:21">
      <c r="B230" s="22"/>
      <c r="C230" s="26"/>
      <c r="D230" s="29"/>
      <c r="E230" s="24"/>
      <c r="F230" s="17"/>
      <c r="G230" s="25"/>
      <c r="H230" s="25"/>
      <c r="I230" s="25"/>
      <c r="J230" s="26"/>
      <c r="K230" s="26"/>
      <c r="L230" s="26"/>
      <c r="M230" s="27"/>
      <c r="N230" s="27"/>
      <c r="O230" s="27"/>
      <c r="Q230" s="27"/>
      <c r="R230" s="27"/>
      <c r="S230" s="16"/>
      <c r="T230" s="27"/>
      <c r="U230" s="27"/>
    </row>
    <row r="231" spans="1:21">
      <c r="B231" s="22"/>
      <c r="C231" s="26"/>
      <c r="D231" s="29"/>
      <c r="E231" s="24"/>
      <c r="F231" s="17"/>
      <c r="G231" s="25"/>
      <c r="H231" s="25"/>
      <c r="I231" s="25"/>
      <c r="J231" s="26"/>
      <c r="K231" s="26"/>
      <c r="L231" s="26"/>
      <c r="M231" s="27"/>
      <c r="N231" s="27"/>
      <c r="O231" s="27"/>
      <c r="Q231" s="27"/>
      <c r="R231" s="27"/>
    </row>
    <row r="232" spans="1:21">
      <c r="B232" s="11"/>
      <c r="D232" s="33"/>
    </row>
    <row r="233" spans="1:21">
      <c r="D233" s="26"/>
    </row>
    <row r="234" spans="1:21">
      <c r="D234" s="26"/>
    </row>
    <row r="235" spans="1:21">
      <c r="D235" s="26"/>
    </row>
    <row r="237" spans="1:21">
      <c r="B237" s="18"/>
      <c r="C237" s="18"/>
      <c r="D237" s="18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</row>
    <row r="238" spans="1:21">
      <c r="B238" s="20"/>
      <c r="C238" s="21"/>
      <c r="D238" s="21"/>
      <c r="E238" s="21"/>
      <c r="F238" s="20"/>
      <c r="G238" s="20"/>
      <c r="H238" s="20"/>
      <c r="I238" s="20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>
      <c r="A239" s="15"/>
      <c r="B239" s="22"/>
      <c r="C239" s="23"/>
      <c r="D239" s="23"/>
      <c r="E239" s="24"/>
      <c r="F239" s="17"/>
      <c r="G239" s="25"/>
      <c r="H239" s="25"/>
      <c r="I239" s="25"/>
      <c r="J239" s="26"/>
      <c r="K239" s="26"/>
      <c r="L239" s="26"/>
      <c r="M239" s="27"/>
      <c r="N239" s="27"/>
      <c r="O239" s="27"/>
      <c r="P239" s="27"/>
      <c r="Q239" s="27"/>
      <c r="R239" s="27"/>
      <c r="S239" s="16"/>
      <c r="T239" s="27"/>
      <c r="U239" s="27"/>
    </row>
    <row r="240" spans="1:21">
      <c r="B240" s="22"/>
      <c r="C240" s="23"/>
      <c r="D240" s="29"/>
      <c r="E240" s="24"/>
      <c r="F240" s="17"/>
      <c r="G240" s="25"/>
      <c r="H240" s="25"/>
      <c r="I240" s="25"/>
      <c r="J240" s="26"/>
      <c r="K240" s="26"/>
      <c r="L240" s="26"/>
      <c r="M240" s="27"/>
      <c r="N240" s="27"/>
      <c r="O240" s="27"/>
      <c r="P240" s="27"/>
      <c r="Q240" s="27"/>
      <c r="R240" s="27"/>
      <c r="S240" s="16"/>
      <c r="T240" s="27"/>
      <c r="U240" s="27"/>
    </row>
    <row r="241" spans="2:24">
      <c r="B241" s="22"/>
      <c r="C241" s="23"/>
      <c r="D241" s="29"/>
      <c r="E241" s="24"/>
      <c r="F241" s="17"/>
      <c r="G241" s="25"/>
      <c r="H241" s="25"/>
      <c r="I241" s="25"/>
      <c r="J241" s="26"/>
      <c r="K241" s="26"/>
      <c r="L241" s="26"/>
      <c r="M241" s="27"/>
      <c r="N241" s="27"/>
      <c r="O241" s="27"/>
      <c r="P241" s="27"/>
      <c r="Q241" s="27"/>
      <c r="R241" s="27"/>
      <c r="S241" s="16"/>
      <c r="T241" s="27"/>
      <c r="U241" s="27"/>
    </row>
    <row r="242" spans="2:24">
      <c r="B242" s="22"/>
      <c r="C242" s="23"/>
      <c r="D242" s="29"/>
      <c r="E242" s="24"/>
      <c r="F242" s="17"/>
      <c r="G242" s="25"/>
      <c r="H242" s="25"/>
      <c r="I242" s="25"/>
      <c r="J242" s="26"/>
      <c r="K242" s="26"/>
      <c r="L242" s="26"/>
      <c r="M242" s="27"/>
      <c r="N242" s="27"/>
      <c r="O242" s="27"/>
      <c r="P242" s="27"/>
      <c r="Q242" s="27"/>
      <c r="R242" s="27"/>
      <c r="S242" s="16"/>
      <c r="T242" s="27"/>
      <c r="U242" s="27"/>
    </row>
    <row r="243" spans="2:24">
      <c r="B243" s="22"/>
      <c r="C243" s="23"/>
      <c r="D243" s="29"/>
      <c r="E243" s="24"/>
      <c r="F243" s="17"/>
      <c r="G243" s="25"/>
      <c r="H243" s="25"/>
      <c r="I243" s="25"/>
      <c r="J243" s="26"/>
      <c r="K243" s="26"/>
      <c r="L243" s="26"/>
      <c r="M243" s="27"/>
      <c r="N243" s="27"/>
      <c r="O243" s="27"/>
      <c r="P243" s="27"/>
      <c r="Q243" s="27"/>
      <c r="R243" s="27"/>
      <c r="S243" s="16"/>
      <c r="T243" s="27"/>
      <c r="U243" s="27"/>
      <c r="W243" s="32"/>
      <c r="X243" s="32"/>
    </row>
    <row r="244" spans="2:24">
      <c r="B244" s="22"/>
      <c r="C244" s="23"/>
      <c r="D244" s="29"/>
      <c r="E244" s="24"/>
      <c r="F244" s="17"/>
      <c r="G244" s="25"/>
      <c r="H244" s="25"/>
      <c r="I244" s="25"/>
      <c r="J244" s="26"/>
      <c r="K244" s="26"/>
      <c r="L244" s="26"/>
      <c r="M244" s="27"/>
      <c r="N244" s="27"/>
      <c r="O244" s="27"/>
      <c r="P244" s="27"/>
      <c r="Q244" s="27"/>
      <c r="R244" s="27"/>
      <c r="S244" s="16"/>
      <c r="T244" s="27"/>
      <c r="U244" s="27"/>
      <c r="W244" s="10"/>
      <c r="X244" s="13"/>
    </row>
    <row r="245" spans="2:24">
      <c r="B245" s="22"/>
      <c r="C245" s="23"/>
      <c r="D245" s="29"/>
      <c r="E245" s="24"/>
      <c r="F245" s="17"/>
      <c r="G245" s="25"/>
      <c r="H245" s="25"/>
      <c r="I245" s="25"/>
      <c r="J245" s="26"/>
      <c r="K245" s="26"/>
      <c r="L245" s="26"/>
      <c r="M245" s="27"/>
      <c r="N245" s="27"/>
      <c r="O245" s="27"/>
      <c r="P245" s="27"/>
      <c r="Q245" s="27"/>
      <c r="R245" s="27"/>
      <c r="S245" s="16"/>
      <c r="T245" s="27"/>
      <c r="U245" s="27"/>
      <c r="W245" s="32"/>
      <c r="X245" s="32"/>
    </row>
    <row r="246" spans="2:24">
      <c r="B246" s="22"/>
      <c r="C246" s="23"/>
      <c r="D246" s="29"/>
      <c r="E246" s="24"/>
      <c r="F246" s="17"/>
      <c r="G246" s="25"/>
      <c r="H246" s="25"/>
      <c r="I246" s="25"/>
      <c r="J246" s="26"/>
      <c r="K246" s="26"/>
      <c r="L246" s="26"/>
      <c r="M246" s="27"/>
      <c r="N246" s="27"/>
      <c r="O246" s="27"/>
      <c r="P246" s="27"/>
      <c r="Q246" s="27"/>
      <c r="R246" s="27"/>
      <c r="S246" s="16"/>
      <c r="T246" s="27"/>
      <c r="U246" s="27"/>
      <c r="W246" s="10"/>
      <c r="X246" s="10"/>
    </row>
    <row r="247" spans="2:24">
      <c r="B247" s="22"/>
      <c r="C247" s="23"/>
      <c r="D247" s="29"/>
      <c r="E247" s="24"/>
      <c r="F247" s="17"/>
      <c r="G247" s="25"/>
      <c r="H247" s="25"/>
      <c r="I247" s="25"/>
      <c r="J247" s="26"/>
      <c r="K247" s="26"/>
      <c r="L247" s="26"/>
      <c r="M247" s="27"/>
      <c r="N247" s="27"/>
      <c r="O247" s="27"/>
      <c r="P247" s="27"/>
      <c r="Q247" s="27"/>
      <c r="R247" s="27"/>
      <c r="S247" s="16"/>
      <c r="T247" s="47"/>
      <c r="U247" s="27"/>
      <c r="W247" s="32"/>
      <c r="X247" s="32"/>
    </row>
    <row r="248" spans="2:24">
      <c r="B248" s="22"/>
      <c r="C248" s="23"/>
      <c r="D248" s="29"/>
      <c r="E248" s="24"/>
      <c r="F248" s="17"/>
      <c r="G248" s="25"/>
      <c r="H248" s="25"/>
      <c r="I248" s="25"/>
      <c r="J248" s="26"/>
      <c r="K248" s="26"/>
      <c r="L248" s="26"/>
      <c r="M248" s="27"/>
      <c r="N248" s="27"/>
      <c r="O248" s="27"/>
      <c r="P248" s="27"/>
      <c r="Q248" s="27"/>
      <c r="R248" s="27"/>
      <c r="S248" s="16"/>
      <c r="T248" s="47"/>
      <c r="U248" s="27"/>
      <c r="W248" s="10"/>
      <c r="X248" s="13"/>
    </row>
    <row r="249" spans="2:24">
      <c r="B249" s="22"/>
      <c r="C249" s="23"/>
      <c r="D249" s="29"/>
      <c r="E249" s="24"/>
      <c r="F249" s="17"/>
      <c r="G249" s="25"/>
      <c r="H249" s="25"/>
      <c r="I249" s="25"/>
      <c r="J249" s="26"/>
      <c r="K249" s="26"/>
      <c r="L249" s="26"/>
      <c r="M249" s="27"/>
      <c r="N249" s="27"/>
      <c r="O249" s="27"/>
      <c r="P249" s="27"/>
      <c r="Q249" s="27"/>
      <c r="R249" s="27"/>
      <c r="S249" s="16"/>
      <c r="T249" s="47"/>
      <c r="U249" s="27"/>
      <c r="W249" s="32"/>
      <c r="X249" s="32"/>
    </row>
    <row r="250" spans="2:24">
      <c r="B250" s="22"/>
      <c r="C250" s="23"/>
      <c r="D250" s="29"/>
      <c r="E250" s="24"/>
      <c r="F250" s="17"/>
      <c r="G250" s="25"/>
      <c r="H250" s="25"/>
      <c r="I250" s="25"/>
      <c r="J250" s="26"/>
      <c r="K250" s="26"/>
      <c r="L250" s="26"/>
      <c r="M250" s="27"/>
      <c r="N250" s="27"/>
      <c r="O250" s="27"/>
      <c r="P250" s="27"/>
      <c r="Q250" s="27"/>
      <c r="R250" s="27"/>
      <c r="S250" s="16"/>
      <c r="T250" s="47"/>
      <c r="U250" s="27"/>
    </row>
    <row r="251" spans="2:24">
      <c r="B251" s="22"/>
      <c r="C251" s="23"/>
      <c r="D251" s="29"/>
      <c r="E251" s="24"/>
      <c r="F251" s="17"/>
      <c r="G251" s="25"/>
      <c r="H251" s="25"/>
      <c r="I251" s="25"/>
      <c r="J251" s="26"/>
      <c r="K251" s="26"/>
      <c r="L251" s="26"/>
      <c r="M251" s="27"/>
      <c r="N251" s="27"/>
      <c r="O251" s="27"/>
      <c r="P251" s="27"/>
      <c r="Q251" s="27"/>
      <c r="R251" s="27"/>
      <c r="S251" s="16"/>
      <c r="T251" s="27"/>
      <c r="U251" s="27"/>
      <c r="W251" s="47"/>
      <c r="X251" s="47"/>
    </row>
    <row r="252" spans="2:24">
      <c r="B252" s="22"/>
      <c r="C252" s="23"/>
      <c r="D252" s="29"/>
      <c r="E252" s="24"/>
      <c r="F252" s="17"/>
      <c r="G252" s="25"/>
      <c r="H252" s="25"/>
      <c r="I252" s="25"/>
      <c r="J252" s="26"/>
      <c r="K252" s="26"/>
      <c r="L252" s="26"/>
      <c r="M252" s="27"/>
      <c r="N252" s="27"/>
      <c r="O252" s="27"/>
      <c r="P252" s="27"/>
      <c r="Q252" s="27"/>
      <c r="R252" s="27"/>
      <c r="S252" s="16"/>
      <c r="T252" s="27"/>
      <c r="U252" s="27"/>
      <c r="W252" s="34"/>
      <c r="X252" s="67"/>
    </row>
    <row r="253" spans="2:24">
      <c r="B253" s="22"/>
      <c r="C253" s="23"/>
      <c r="D253" s="29"/>
      <c r="E253" s="24"/>
      <c r="F253" s="17"/>
      <c r="G253" s="25"/>
      <c r="H253" s="25"/>
      <c r="I253" s="25"/>
      <c r="J253" s="26"/>
      <c r="K253" s="26"/>
      <c r="L253" s="26"/>
      <c r="M253" s="27"/>
      <c r="N253" s="27"/>
      <c r="O253" s="27"/>
      <c r="P253" s="27"/>
      <c r="Q253" s="27"/>
      <c r="R253" s="27"/>
      <c r="S253" s="16"/>
      <c r="T253" s="27"/>
      <c r="U253" s="27"/>
      <c r="W253" s="47"/>
      <c r="X253" s="47"/>
    </row>
    <row r="254" spans="2:24">
      <c r="B254" s="22"/>
      <c r="C254" s="23"/>
      <c r="D254" s="29"/>
      <c r="E254" s="24"/>
      <c r="F254" s="17"/>
      <c r="G254" s="25"/>
      <c r="H254" s="25"/>
      <c r="I254" s="25"/>
      <c r="J254" s="26"/>
      <c r="K254" s="26"/>
      <c r="L254" s="26"/>
      <c r="M254" s="27"/>
      <c r="N254" s="27"/>
      <c r="O254" s="27"/>
      <c r="P254" s="27"/>
      <c r="Q254" s="27"/>
      <c r="R254" s="27"/>
      <c r="S254" s="16"/>
      <c r="T254" s="27"/>
      <c r="U254" s="27"/>
      <c r="W254" s="34"/>
      <c r="X254" s="34"/>
    </row>
    <row r="255" spans="2:24">
      <c r="B255" s="22"/>
      <c r="C255" s="23"/>
      <c r="D255" s="29"/>
      <c r="E255" s="24"/>
      <c r="F255" s="17"/>
      <c r="G255" s="25"/>
      <c r="H255" s="25"/>
      <c r="I255" s="25"/>
      <c r="J255" s="26"/>
      <c r="K255" s="26"/>
      <c r="L255" s="26"/>
      <c r="M255" s="27"/>
      <c r="N255" s="27"/>
      <c r="O255" s="27"/>
      <c r="P255" s="27"/>
      <c r="Q255" s="27"/>
      <c r="R255" s="27"/>
      <c r="S255" s="16"/>
      <c r="T255" s="27"/>
      <c r="U255" s="27"/>
      <c r="W255" s="47"/>
      <c r="X255" s="47"/>
    </row>
    <row r="256" spans="2:24">
      <c r="B256" s="22"/>
      <c r="C256" s="23"/>
      <c r="D256" s="29"/>
      <c r="E256" s="24"/>
      <c r="F256" s="17"/>
      <c r="G256" s="25"/>
      <c r="H256" s="25"/>
      <c r="I256" s="25"/>
      <c r="J256" s="26"/>
      <c r="K256" s="26"/>
      <c r="L256" s="26"/>
      <c r="M256" s="27"/>
      <c r="N256" s="27"/>
      <c r="O256" s="27"/>
      <c r="P256" s="27"/>
      <c r="Q256" s="27"/>
      <c r="R256" s="27"/>
      <c r="S256" s="16"/>
      <c r="T256" s="27"/>
      <c r="U256" s="27"/>
      <c r="W256" s="34"/>
      <c r="X256" s="67"/>
    </row>
    <row r="257" spans="1:24">
      <c r="B257" s="22"/>
      <c r="C257" s="23"/>
      <c r="D257" s="29"/>
      <c r="E257" s="24"/>
      <c r="F257" s="17"/>
      <c r="G257" s="25"/>
      <c r="H257" s="25"/>
      <c r="I257" s="25"/>
      <c r="J257" s="26"/>
      <c r="K257" s="26"/>
      <c r="L257" s="26"/>
      <c r="M257" s="27"/>
      <c r="N257" s="27"/>
      <c r="O257" s="27"/>
      <c r="P257" s="27"/>
      <c r="Q257" s="27"/>
      <c r="R257" s="27"/>
      <c r="S257" s="16"/>
      <c r="T257" s="27"/>
      <c r="U257" s="27"/>
      <c r="W257" s="47"/>
      <c r="X257" s="47"/>
    </row>
    <row r="258" spans="1:24">
      <c r="B258" s="22"/>
      <c r="C258" s="23"/>
      <c r="D258" s="29"/>
      <c r="E258" s="24"/>
      <c r="F258" s="17"/>
      <c r="G258" s="25"/>
      <c r="H258" s="25"/>
      <c r="I258" s="25"/>
      <c r="J258" s="26"/>
      <c r="K258" s="26"/>
      <c r="L258" s="26"/>
      <c r="M258" s="27"/>
      <c r="N258" s="27"/>
      <c r="O258" s="27"/>
      <c r="P258" s="27"/>
      <c r="Q258" s="27"/>
      <c r="R258" s="27"/>
      <c r="S258" s="16"/>
      <c r="T258" s="27"/>
      <c r="U258" s="27"/>
    </row>
    <row r="260" spans="1:24">
      <c r="B260" s="18"/>
      <c r="C260" s="18"/>
      <c r="D260" s="18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</row>
    <row r="261" spans="1:24">
      <c r="C261" s="21"/>
      <c r="D261" s="21"/>
      <c r="E261" s="21"/>
      <c r="F261" s="20"/>
      <c r="G261" s="20"/>
      <c r="H261" s="20"/>
      <c r="I261" s="20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4">
      <c r="A262" s="15"/>
      <c r="B262" s="22"/>
      <c r="C262" s="23"/>
      <c r="D262" s="23"/>
      <c r="E262" s="24"/>
      <c r="F262" s="17"/>
      <c r="G262" s="25"/>
      <c r="H262" s="25"/>
      <c r="I262" s="25"/>
      <c r="J262" s="26"/>
      <c r="K262" s="26"/>
      <c r="L262" s="26"/>
      <c r="M262" s="27"/>
      <c r="N262" s="27"/>
      <c r="O262" s="27"/>
      <c r="P262" s="27"/>
      <c r="Q262" s="27"/>
      <c r="R262" s="27"/>
      <c r="S262" s="16"/>
      <c r="T262" s="27"/>
      <c r="U262" s="27"/>
    </row>
    <row r="263" spans="1:24">
      <c r="B263" s="22"/>
      <c r="C263" s="30"/>
      <c r="D263" s="29"/>
      <c r="E263" s="24"/>
      <c r="F263" s="17"/>
      <c r="G263" s="25"/>
      <c r="H263" s="25"/>
      <c r="I263" s="25"/>
      <c r="J263" s="26"/>
      <c r="K263" s="26"/>
      <c r="L263" s="26"/>
      <c r="M263" s="27"/>
      <c r="N263" s="27"/>
      <c r="O263" s="27"/>
      <c r="Q263" s="27"/>
      <c r="R263" s="27"/>
      <c r="S263" s="16"/>
      <c r="T263" s="27"/>
      <c r="U263" s="27"/>
    </row>
    <row r="264" spans="1:24">
      <c r="B264" s="22"/>
      <c r="C264" s="26"/>
      <c r="D264" s="31"/>
      <c r="E264" s="24"/>
      <c r="F264" s="17"/>
      <c r="G264" s="25"/>
      <c r="H264" s="25"/>
      <c r="I264" s="25"/>
      <c r="J264" s="26"/>
      <c r="K264" s="26"/>
      <c r="L264" s="26"/>
      <c r="M264" s="27"/>
      <c r="N264" s="27"/>
      <c r="O264" s="27"/>
      <c r="Q264" s="27"/>
      <c r="R264" s="27"/>
      <c r="S264" s="16"/>
      <c r="T264" s="27"/>
      <c r="U264" s="27"/>
    </row>
    <row r="265" spans="1:24">
      <c r="B265" s="22"/>
      <c r="C265" s="26"/>
      <c r="D265" s="31"/>
      <c r="E265" s="24"/>
      <c r="F265" s="17"/>
      <c r="G265" s="25"/>
      <c r="H265" s="25"/>
      <c r="I265" s="25"/>
      <c r="J265" s="26"/>
      <c r="K265" s="26"/>
      <c r="L265" s="26"/>
      <c r="M265" s="27"/>
      <c r="N265" s="27"/>
      <c r="O265" s="27"/>
      <c r="Q265" s="27"/>
      <c r="R265" s="27"/>
      <c r="S265" s="16"/>
      <c r="T265" s="27"/>
      <c r="U265" s="27"/>
    </row>
    <row r="266" spans="1:24">
      <c r="B266" s="22"/>
      <c r="C266" s="26"/>
      <c r="D266" s="31"/>
      <c r="E266" s="24"/>
      <c r="F266" s="17"/>
      <c r="G266" s="25"/>
      <c r="H266" s="25"/>
      <c r="I266" s="25"/>
      <c r="J266" s="26"/>
      <c r="K266" s="26"/>
      <c r="L266" s="26"/>
      <c r="M266" s="27"/>
      <c r="N266" s="27"/>
      <c r="O266" s="27"/>
      <c r="Q266" s="27"/>
      <c r="R266" s="27"/>
      <c r="S266" s="16"/>
      <c r="T266" s="32"/>
      <c r="U266" s="27"/>
    </row>
    <row r="267" spans="1:24">
      <c r="B267" s="22"/>
      <c r="C267" s="26"/>
      <c r="D267" s="31"/>
      <c r="E267" s="24"/>
      <c r="F267" s="17"/>
      <c r="G267" s="25"/>
      <c r="H267" s="25"/>
      <c r="I267" s="25"/>
      <c r="J267" s="26"/>
      <c r="K267" s="26"/>
      <c r="L267" s="26"/>
      <c r="M267" s="27"/>
      <c r="N267" s="27"/>
      <c r="O267" s="27"/>
      <c r="Q267" s="27"/>
      <c r="R267" s="27"/>
      <c r="S267" s="16"/>
      <c r="T267" s="32"/>
      <c r="U267" s="27"/>
    </row>
    <row r="268" spans="1:24">
      <c r="B268" s="22"/>
      <c r="C268" s="26"/>
      <c r="D268" s="29"/>
      <c r="E268" s="24"/>
      <c r="F268" s="17"/>
      <c r="G268" s="25"/>
      <c r="H268" s="25"/>
      <c r="I268" s="25"/>
      <c r="J268" s="26"/>
      <c r="K268" s="26"/>
      <c r="L268" s="26"/>
      <c r="M268" s="27"/>
      <c r="N268" s="27"/>
      <c r="O268" s="27"/>
      <c r="Q268" s="27"/>
      <c r="R268" s="27"/>
      <c r="S268" s="16"/>
      <c r="T268" s="32"/>
      <c r="U268" s="27"/>
    </row>
    <row r="269" spans="1:24">
      <c r="B269" s="22"/>
      <c r="C269" s="26"/>
      <c r="D269" s="29"/>
      <c r="E269" s="24"/>
      <c r="F269" s="17"/>
      <c r="G269" s="25"/>
      <c r="H269" s="25"/>
      <c r="I269" s="25"/>
      <c r="J269" s="26"/>
      <c r="K269" s="26"/>
      <c r="L269" s="26"/>
      <c r="M269" s="27"/>
      <c r="N269" s="27"/>
      <c r="O269" s="27"/>
      <c r="Q269" s="27"/>
      <c r="R269" s="27"/>
      <c r="S269" s="16"/>
      <c r="T269" s="27"/>
      <c r="U269" s="27"/>
    </row>
    <row r="270" spans="1:24">
      <c r="B270" s="22"/>
      <c r="C270" s="26"/>
      <c r="D270" s="29"/>
      <c r="E270" s="24"/>
      <c r="F270" s="17"/>
      <c r="G270" s="25"/>
      <c r="H270" s="25"/>
      <c r="I270" s="25"/>
      <c r="J270" s="26"/>
      <c r="K270" s="26"/>
      <c r="L270" s="26"/>
      <c r="M270" s="27"/>
      <c r="N270" s="27"/>
      <c r="O270" s="27"/>
      <c r="Q270" s="27"/>
      <c r="R270" s="27"/>
      <c r="S270" s="16"/>
      <c r="T270" s="27"/>
      <c r="U270" s="27"/>
    </row>
    <row r="271" spans="1:24">
      <c r="B271" s="22"/>
      <c r="C271" s="26"/>
      <c r="D271" s="29"/>
      <c r="E271" s="24"/>
      <c r="F271" s="17"/>
      <c r="G271" s="25"/>
      <c r="H271" s="25"/>
      <c r="I271" s="25"/>
      <c r="J271" s="26"/>
      <c r="K271" s="26"/>
      <c r="L271" s="26"/>
      <c r="M271" s="27"/>
      <c r="N271" s="27"/>
      <c r="O271" s="27"/>
      <c r="Q271" s="27"/>
      <c r="R271" s="27"/>
      <c r="S271" s="16"/>
      <c r="T271" s="27"/>
      <c r="U271" s="27"/>
    </row>
    <row r="272" spans="1:24">
      <c r="B272" s="22"/>
      <c r="C272" s="26"/>
      <c r="D272" s="29"/>
      <c r="E272" s="24"/>
      <c r="F272" s="17"/>
      <c r="G272" s="25"/>
      <c r="H272" s="25"/>
      <c r="I272" s="25"/>
      <c r="J272" s="26"/>
      <c r="K272" s="26"/>
      <c r="L272" s="26"/>
      <c r="M272" s="27"/>
      <c r="N272" s="27"/>
      <c r="O272" s="27"/>
      <c r="Q272" s="27"/>
      <c r="R272" s="27"/>
      <c r="S272" s="16"/>
      <c r="T272" s="27"/>
      <c r="U272" s="27"/>
    </row>
    <row r="273" spans="2:21">
      <c r="B273" s="22"/>
      <c r="C273" s="26"/>
      <c r="D273" s="29"/>
      <c r="E273" s="24"/>
      <c r="F273" s="17"/>
      <c r="G273" s="25"/>
      <c r="H273" s="25"/>
      <c r="I273" s="25"/>
      <c r="J273" s="26"/>
      <c r="K273" s="26"/>
      <c r="L273" s="26"/>
      <c r="M273" s="27"/>
      <c r="N273" s="27"/>
      <c r="O273" s="27"/>
      <c r="Q273" s="27"/>
      <c r="R273" s="27"/>
      <c r="S273" s="16"/>
      <c r="T273" s="27"/>
      <c r="U273" s="27"/>
    </row>
    <row r="274" spans="2:21">
      <c r="B274" s="22"/>
      <c r="C274" s="26"/>
      <c r="D274" s="29"/>
      <c r="E274" s="24"/>
      <c r="F274" s="17"/>
      <c r="G274" s="25"/>
      <c r="H274" s="25"/>
      <c r="I274" s="25"/>
      <c r="J274" s="26"/>
      <c r="K274" s="26"/>
      <c r="L274" s="26"/>
      <c r="M274" s="27"/>
      <c r="N274" s="27"/>
      <c r="O274" s="27"/>
      <c r="Q274" s="27"/>
      <c r="R274" s="27"/>
      <c r="S274" s="16"/>
      <c r="T274" s="27"/>
      <c r="U274" s="27"/>
    </row>
    <row r="275" spans="2:21">
      <c r="B275" s="22"/>
      <c r="C275" s="26"/>
      <c r="D275" s="29"/>
      <c r="E275" s="24"/>
      <c r="F275" s="17"/>
      <c r="G275" s="25"/>
      <c r="H275" s="25"/>
      <c r="I275" s="25"/>
      <c r="J275" s="26"/>
      <c r="K275" s="26"/>
      <c r="L275" s="26"/>
      <c r="M275" s="27"/>
      <c r="N275" s="27"/>
      <c r="O275" s="27"/>
      <c r="Q275" s="27"/>
      <c r="R275" s="27"/>
      <c r="S275" s="16"/>
      <c r="T275" s="27"/>
      <c r="U275" s="27"/>
    </row>
    <row r="276" spans="2:21">
      <c r="B276" s="22"/>
      <c r="C276" s="26"/>
      <c r="D276" s="29"/>
      <c r="E276" s="24"/>
      <c r="F276" s="17"/>
      <c r="G276" s="25"/>
      <c r="H276" s="25"/>
      <c r="I276" s="25"/>
      <c r="J276" s="26"/>
      <c r="K276" s="26"/>
      <c r="L276" s="26"/>
      <c r="M276" s="27"/>
      <c r="N276" s="27"/>
      <c r="O276" s="27"/>
      <c r="Q276" s="27"/>
      <c r="R276" s="27"/>
      <c r="S276" s="16"/>
      <c r="T276" s="27"/>
      <c r="U276" s="27"/>
    </row>
    <row r="277" spans="2:21">
      <c r="B277" s="22"/>
      <c r="C277" s="26"/>
      <c r="D277" s="29"/>
      <c r="E277" s="24"/>
      <c r="F277" s="17"/>
      <c r="G277" s="25"/>
      <c r="H277" s="25"/>
      <c r="I277" s="25"/>
      <c r="J277" s="26"/>
      <c r="K277" s="26"/>
      <c r="L277" s="26"/>
      <c r="M277" s="27"/>
      <c r="N277" s="27"/>
      <c r="O277" s="27"/>
      <c r="Q277" s="27"/>
      <c r="R277" s="27"/>
      <c r="S277" s="16"/>
      <c r="T277" s="27"/>
      <c r="U277" s="27"/>
    </row>
    <row r="278" spans="2:21">
      <c r="B278" s="22"/>
      <c r="C278" s="26"/>
      <c r="D278" s="29"/>
      <c r="E278" s="24"/>
      <c r="F278" s="17"/>
      <c r="G278" s="25"/>
      <c r="H278" s="25"/>
      <c r="I278" s="25"/>
      <c r="J278" s="26"/>
      <c r="K278" s="26"/>
      <c r="L278" s="26"/>
      <c r="M278" s="27"/>
      <c r="N278" s="27"/>
      <c r="O278" s="27"/>
      <c r="Q278" s="27"/>
      <c r="R278" s="27"/>
      <c r="S278" s="16"/>
      <c r="T278" s="27"/>
      <c r="U278" s="27"/>
    </row>
    <row r="279" spans="2:21">
      <c r="B279" s="22"/>
      <c r="C279" s="26"/>
      <c r="D279" s="29"/>
      <c r="E279" s="24"/>
      <c r="F279" s="17"/>
      <c r="G279" s="25"/>
      <c r="H279" s="25"/>
      <c r="I279" s="25"/>
      <c r="J279" s="26"/>
      <c r="K279" s="26"/>
      <c r="L279" s="26"/>
      <c r="M279" s="27"/>
      <c r="N279" s="27"/>
      <c r="O279" s="27"/>
      <c r="Q279" s="27"/>
      <c r="R279" s="27"/>
      <c r="S279" s="16"/>
      <c r="T279" s="27"/>
      <c r="U279" s="27"/>
    </row>
    <row r="280" spans="2:21">
      <c r="B280" s="22"/>
      <c r="C280" s="26"/>
      <c r="D280" s="29"/>
      <c r="E280" s="24"/>
      <c r="F280" s="17"/>
      <c r="G280" s="25"/>
      <c r="H280" s="25"/>
      <c r="I280" s="25"/>
      <c r="J280" s="26"/>
      <c r="K280" s="26"/>
      <c r="L280" s="26"/>
      <c r="M280" s="27"/>
      <c r="N280" s="27"/>
      <c r="O280" s="27"/>
      <c r="Q280" s="27"/>
      <c r="R280" s="27"/>
      <c r="S280" s="16"/>
      <c r="T280" s="27"/>
      <c r="U280" s="27"/>
    </row>
    <row r="281" spans="2:21">
      <c r="B281" s="22"/>
      <c r="C281" s="26"/>
      <c r="D281" s="29"/>
      <c r="E281" s="24"/>
      <c r="F281" s="17"/>
      <c r="G281" s="25"/>
      <c r="H281" s="25"/>
      <c r="I281" s="25"/>
      <c r="J281" s="26"/>
      <c r="K281" s="26"/>
      <c r="L281" s="26"/>
      <c r="M281" s="27"/>
      <c r="N281" s="27"/>
      <c r="O281" s="27"/>
      <c r="Q281" s="27"/>
      <c r="R281" s="27"/>
      <c r="S281" s="16"/>
      <c r="T281" s="27"/>
      <c r="U281" s="27"/>
    </row>
    <row r="283" spans="2:21">
      <c r="B283" s="11"/>
      <c r="D283" s="33"/>
    </row>
    <row r="284" spans="2:21">
      <c r="D284" s="26"/>
    </row>
    <row r="285" spans="2:21">
      <c r="D285" s="26"/>
    </row>
    <row r="286" spans="2:21">
      <c r="D286" s="26"/>
    </row>
    <row r="288" spans="2:21">
      <c r="B288" s="18"/>
      <c r="C288" s="18"/>
      <c r="D288" s="18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</row>
    <row r="289" spans="1:21">
      <c r="B289" s="20"/>
      <c r="C289" s="21"/>
      <c r="D289" s="21"/>
      <c r="E289" s="21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>
      <c r="A290" s="15"/>
      <c r="B290" s="22"/>
      <c r="C290" s="23"/>
      <c r="D290" s="23"/>
      <c r="E290" s="24"/>
      <c r="F290" s="17"/>
      <c r="G290" s="25"/>
      <c r="H290" s="25"/>
      <c r="I290" s="25"/>
      <c r="J290" s="26"/>
      <c r="K290" s="26"/>
      <c r="L290" s="26"/>
      <c r="M290" s="27"/>
      <c r="N290" s="27"/>
      <c r="O290" s="27"/>
      <c r="P290" s="27"/>
      <c r="Q290" s="27"/>
      <c r="R290" s="27"/>
      <c r="S290" s="16"/>
      <c r="T290" s="27"/>
      <c r="U290" s="27"/>
    </row>
    <row r="291" spans="1:21">
      <c r="B291" s="22"/>
      <c r="C291" s="23"/>
      <c r="D291" s="29"/>
      <c r="E291" s="24"/>
      <c r="F291" s="17"/>
      <c r="G291" s="25"/>
      <c r="H291" s="25"/>
      <c r="I291" s="25"/>
      <c r="J291" s="26"/>
      <c r="K291" s="26"/>
      <c r="L291" s="26"/>
      <c r="M291" s="27"/>
      <c r="N291" s="27"/>
      <c r="O291" s="27"/>
      <c r="P291" s="27"/>
      <c r="Q291" s="27"/>
      <c r="R291" s="27"/>
      <c r="S291" s="16"/>
      <c r="T291" s="27"/>
      <c r="U291" s="27"/>
    </row>
    <row r="292" spans="1:21">
      <c r="B292" s="22"/>
      <c r="C292" s="23"/>
      <c r="D292" s="29"/>
      <c r="E292" s="24"/>
      <c r="F292" s="17"/>
      <c r="G292" s="25"/>
      <c r="H292" s="25"/>
      <c r="I292" s="25"/>
      <c r="J292" s="26"/>
      <c r="K292" s="26"/>
      <c r="L292" s="26"/>
      <c r="M292" s="27"/>
      <c r="N292" s="27"/>
      <c r="O292" s="27"/>
      <c r="P292" s="27"/>
      <c r="Q292" s="27"/>
      <c r="R292" s="27"/>
      <c r="S292" s="16"/>
      <c r="T292" s="27"/>
      <c r="U292" s="27"/>
    </row>
    <row r="293" spans="1:21">
      <c r="B293" s="22"/>
      <c r="C293" s="23"/>
      <c r="D293" s="29"/>
      <c r="E293" s="24"/>
      <c r="F293" s="17"/>
      <c r="G293" s="25"/>
      <c r="H293" s="25"/>
      <c r="I293" s="25"/>
      <c r="J293" s="26"/>
      <c r="K293" s="26"/>
      <c r="L293" s="26"/>
      <c r="M293" s="27"/>
      <c r="N293" s="27"/>
      <c r="O293" s="27"/>
      <c r="P293" s="27"/>
      <c r="Q293" s="27"/>
      <c r="R293" s="27"/>
      <c r="S293" s="16"/>
      <c r="T293" s="27"/>
      <c r="U293" s="27"/>
    </row>
    <row r="294" spans="1:21">
      <c r="B294" s="22"/>
      <c r="C294" s="23"/>
      <c r="D294" s="29"/>
      <c r="E294" s="24"/>
      <c r="F294" s="17"/>
      <c r="G294" s="25"/>
      <c r="H294" s="25"/>
      <c r="I294" s="25"/>
      <c r="J294" s="26"/>
      <c r="K294" s="26"/>
      <c r="L294" s="26"/>
      <c r="M294" s="27"/>
      <c r="N294" s="27"/>
      <c r="O294" s="27"/>
      <c r="P294" s="27"/>
      <c r="Q294" s="27"/>
      <c r="R294" s="27"/>
      <c r="S294" s="16"/>
      <c r="T294" s="27"/>
      <c r="U294" s="27"/>
    </row>
    <row r="295" spans="1:21">
      <c r="B295" s="22"/>
      <c r="C295" s="23"/>
      <c r="D295" s="29"/>
      <c r="E295" s="24"/>
      <c r="F295" s="17"/>
      <c r="G295" s="25"/>
      <c r="H295" s="25"/>
      <c r="I295" s="25"/>
      <c r="J295" s="26"/>
      <c r="K295" s="26"/>
      <c r="L295" s="26"/>
      <c r="M295" s="27"/>
      <c r="N295" s="27"/>
      <c r="O295" s="27"/>
      <c r="P295" s="27"/>
      <c r="Q295" s="27"/>
      <c r="R295" s="27"/>
      <c r="S295" s="16"/>
      <c r="T295" s="27"/>
      <c r="U295" s="27"/>
    </row>
    <row r="296" spans="1:21">
      <c r="B296" s="22"/>
      <c r="C296" s="23"/>
      <c r="D296" s="29"/>
      <c r="E296" s="24"/>
      <c r="F296" s="17"/>
      <c r="G296" s="25"/>
      <c r="H296" s="25"/>
      <c r="I296" s="25"/>
      <c r="J296" s="26"/>
      <c r="K296" s="26"/>
      <c r="L296" s="26"/>
      <c r="M296" s="27"/>
      <c r="N296" s="27"/>
      <c r="O296" s="27"/>
      <c r="P296" s="27"/>
      <c r="Q296" s="27"/>
      <c r="R296" s="27"/>
      <c r="S296" s="16"/>
      <c r="T296" s="27"/>
      <c r="U296" s="27"/>
    </row>
    <row r="297" spans="1:21">
      <c r="B297" s="22"/>
      <c r="C297" s="23"/>
      <c r="D297" s="29"/>
      <c r="E297" s="24"/>
      <c r="F297" s="17"/>
      <c r="G297" s="25"/>
      <c r="H297" s="25"/>
      <c r="I297" s="25"/>
      <c r="J297" s="26"/>
      <c r="K297" s="26"/>
      <c r="L297" s="26"/>
      <c r="M297" s="27"/>
      <c r="N297" s="27"/>
      <c r="O297" s="27"/>
      <c r="P297" s="27"/>
      <c r="Q297" s="27"/>
      <c r="R297" s="27"/>
      <c r="S297" s="16"/>
      <c r="T297" s="27"/>
      <c r="U297" s="27"/>
    </row>
    <row r="298" spans="1:21">
      <c r="B298" s="22"/>
      <c r="C298" s="23"/>
      <c r="D298" s="29"/>
      <c r="E298" s="24"/>
      <c r="F298" s="17"/>
      <c r="G298" s="25"/>
      <c r="H298" s="25"/>
      <c r="I298" s="25"/>
      <c r="J298" s="26"/>
      <c r="K298" s="26"/>
      <c r="L298" s="26"/>
      <c r="M298" s="27"/>
      <c r="N298" s="27"/>
      <c r="O298" s="27"/>
      <c r="P298" s="27"/>
      <c r="Q298" s="27"/>
      <c r="R298" s="27"/>
      <c r="S298" s="16"/>
      <c r="T298" s="27"/>
      <c r="U298" s="27"/>
    </row>
    <row r="299" spans="1:21">
      <c r="B299" s="22"/>
      <c r="C299" s="23"/>
      <c r="D299" s="29"/>
      <c r="E299" s="24"/>
      <c r="F299" s="17"/>
      <c r="G299" s="25"/>
      <c r="H299" s="25"/>
      <c r="I299" s="25"/>
      <c r="J299" s="26"/>
      <c r="K299" s="26"/>
      <c r="L299" s="26"/>
      <c r="M299" s="27"/>
      <c r="N299" s="27"/>
      <c r="O299" s="27"/>
      <c r="P299" s="27"/>
      <c r="Q299" s="27"/>
      <c r="R299" s="27"/>
      <c r="S299" s="16"/>
      <c r="T299" s="27"/>
      <c r="U299" s="27"/>
    </row>
    <row r="300" spans="1:21">
      <c r="B300" s="22"/>
      <c r="C300" s="23"/>
      <c r="D300" s="29"/>
      <c r="E300" s="24"/>
      <c r="F300" s="17"/>
      <c r="G300" s="25"/>
      <c r="H300" s="25"/>
      <c r="I300" s="25"/>
      <c r="J300" s="26"/>
      <c r="K300" s="26"/>
      <c r="L300" s="26"/>
      <c r="M300" s="27"/>
      <c r="N300" s="27"/>
      <c r="O300" s="27"/>
      <c r="P300" s="27"/>
      <c r="Q300" s="27"/>
      <c r="R300" s="27"/>
      <c r="S300" s="16"/>
      <c r="T300" s="27"/>
      <c r="U300" s="27"/>
    </row>
    <row r="301" spans="1:21">
      <c r="B301" s="22"/>
      <c r="C301" s="23"/>
      <c r="D301" s="29"/>
      <c r="E301" s="24"/>
      <c r="F301" s="17"/>
      <c r="G301" s="25"/>
      <c r="H301" s="25"/>
      <c r="I301" s="25"/>
      <c r="J301" s="26"/>
      <c r="K301" s="26"/>
      <c r="L301" s="26"/>
      <c r="M301" s="27"/>
      <c r="N301" s="27"/>
      <c r="O301" s="27"/>
      <c r="P301" s="27"/>
      <c r="Q301" s="27"/>
      <c r="R301" s="27"/>
      <c r="S301" s="16"/>
      <c r="T301" s="27"/>
      <c r="U301" s="27"/>
    </row>
    <row r="302" spans="1:21">
      <c r="B302" s="22"/>
      <c r="C302" s="23"/>
      <c r="D302" s="29"/>
      <c r="E302" s="24"/>
      <c r="F302" s="17"/>
      <c r="G302" s="25"/>
      <c r="H302" s="25"/>
      <c r="I302" s="25"/>
      <c r="J302" s="26"/>
      <c r="K302" s="26"/>
      <c r="L302" s="26"/>
      <c r="M302" s="27"/>
      <c r="N302" s="27"/>
      <c r="O302" s="27"/>
      <c r="P302" s="27"/>
      <c r="Q302" s="27"/>
      <c r="R302" s="27"/>
      <c r="S302" s="16"/>
      <c r="T302" s="27"/>
      <c r="U302" s="27"/>
    </row>
    <row r="303" spans="1:21">
      <c r="B303" s="22"/>
      <c r="C303" s="23"/>
      <c r="D303" s="29"/>
      <c r="E303" s="24"/>
      <c r="F303" s="17"/>
      <c r="G303" s="25"/>
      <c r="H303" s="25"/>
      <c r="I303" s="25"/>
      <c r="J303" s="26"/>
      <c r="K303" s="26"/>
      <c r="L303" s="26"/>
      <c r="M303" s="27"/>
      <c r="N303" s="27"/>
      <c r="O303" s="27"/>
      <c r="P303" s="27"/>
      <c r="Q303" s="27"/>
      <c r="R303" s="27"/>
      <c r="S303" s="16"/>
      <c r="T303" s="27"/>
      <c r="U303" s="27"/>
    </row>
    <row r="304" spans="1:21">
      <c r="B304" s="22"/>
      <c r="C304" s="23"/>
      <c r="D304" s="29"/>
      <c r="E304" s="24"/>
      <c r="F304" s="17"/>
      <c r="G304" s="25"/>
      <c r="H304" s="25"/>
      <c r="I304" s="25"/>
      <c r="J304" s="26"/>
      <c r="K304" s="26"/>
      <c r="L304" s="26"/>
      <c r="M304" s="27"/>
      <c r="N304" s="27"/>
      <c r="O304" s="27"/>
      <c r="P304" s="27"/>
      <c r="Q304" s="27"/>
      <c r="R304" s="27"/>
      <c r="S304" s="16"/>
      <c r="T304" s="27"/>
      <c r="U304" s="27"/>
    </row>
    <row r="305" spans="1:21">
      <c r="B305" s="22"/>
      <c r="C305" s="23"/>
      <c r="D305" s="29"/>
      <c r="E305" s="24"/>
      <c r="F305" s="17"/>
      <c r="G305" s="25"/>
      <c r="H305" s="25"/>
      <c r="I305" s="25"/>
      <c r="J305" s="26"/>
      <c r="K305" s="26"/>
      <c r="L305" s="26"/>
      <c r="M305" s="27"/>
      <c r="N305" s="27"/>
      <c r="O305" s="27"/>
      <c r="P305" s="27"/>
      <c r="Q305" s="27"/>
      <c r="R305" s="27"/>
      <c r="S305" s="16"/>
      <c r="T305" s="27"/>
      <c r="U305" s="27"/>
    </row>
    <row r="306" spans="1:21">
      <c r="B306" s="22"/>
      <c r="C306" s="23"/>
      <c r="D306" s="29"/>
      <c r="E306" s="24"/>
      <c r="F306" s="17"/>
      <c r="G306" s="25"/>
      <c r="H306" s="25"/>
      <c r="I306" s="25"/>
      <c r="J306" s="26"/>
      <c r="K306" s="26"/>
      <c r="L306" s="26"/>
      <c r="M306" s="27"/>
      <c r="N306" s="27"/>
      <c r="O306" s="27"/>
      <c r="P306" s="27"/>
      <c r="Q306" s="27"/>
      <c r="R306" s="27"/>
      <c r="S306" s="16"/>
      <c r="T306" s="27"/>
      <c r="U306" s="27"/>
    </row>
    <row r="307" spans="1:21">
      <c r="B307" s="22"/>
      <c r="C307" s="23"/>
      <c r="D307" s="29"/>
      <c r="E307" s="24"/>
      <c r="F307" s="17"/>
      <c r="G307" s="25"/>
      <c r="H307" s="25"/>
      <c r="I307" s="25"/>
      <c r="J307" s="26"/>
      <c r="K307" s="26"/>
      <c r="L307" s="26"/>
      <c r="M307" s="27"/>
      <c r="N307" s="27"/>
      <c r="O307" s="27"/>
      <c r="P307" s="27"/>
      <c r="Q307" s="27"/>
      <c r="R307" s="27"/>
      <c r="S307" s="16"/>
      <c r="T307" s="27"/>
      <c r="U307" s="27"/>
    </row>
    <row r="308" spans="1:21">
      <c r="B308" s="22"/>
      <c r="C308" s="23"/>
      <c r="D308" s="29"/>
      <c r="E308" s="24"/>
      <c r="F308" s="17"/>
      <c r="G308" s="25"/>
      <c r="H308" s="25"/>
      <c r="I308" s="25"/>
      <c r="J308" s="26"/>
      <c r="K308" s="26"/>
      <c r="L308" s="26"/>
      <c r="M308" s="27"/>
      <c r="N308" s="27"/>
      <c r="O308" s="27"/>
      <c r="P308" s="27"/>
      <c r="Q308" s="27"/>
      <c r="R308" s="27"/>
      <c r="S308" s="16"/>
      <c r="T308" s="27"/>
      <c r="U308" s="27"/>
    </row>
    <row r="309" spans="1:21">
      <c r="B309" s="22"/>
      <c r="C309" s="23"/>
      <c r="D309" s="29"/>
      <c r="E309" s="24"/>
      <c r="F309" s="17"/>
      <c r="G309" s="25"/>
      <c r="H309" s="25"/>
      <c r="I309" s="25"/>
      <c r="J309" s="26"/>
      <c r="K309" s="26"/>
      <c r="L309" s="26"/>
      <c r="M309" s="27"/>
      <c r="N309" s="27"/>
      <c r="O309" s="27"/>
      <c r="P309" s="27"/>
      <c r="Q309" s="27"/>
      <c r="R309" s="27"/>
      <c r="S309" s="16"/>
      <c r="T309" s="27"/>
      <c r="U309" s="27"/>
    </row>
    <row r="311" spans="1:21">
      <c r="B311" s="18"/>
      <c r="C311" s="18"/>
      <c r="D311" s="18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</row>
    <row r="312" spans="1:21">
      <c r="C312" s="21"/>
      <c r="D312" s="21"/>
      <c r="E312" s="21"/>
      <c r="F312" s="20"/>
      <c r="G312" s="20"/>
      <c r="H312" s="20"/>
      <c r="I312" s="20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>
      <c r="A313" s="15"/>
      <c r="B313" s="22"/>
      <c r="C313" s="23"/>
      <c r="D313" s="23"/>
      <c r="E313" s="24"/>
      <c r="F313" s="17"/>
      <c r="G313" s="25"/>
      <c r="H313" s="25"/>
      <c r="I313" s="25"/>
      <c r="J313" s="26"/>
      <c r="K313" s="26"/>
      <c r="L313" s="26"/>
      <c r="M313" s="27"/>
      <c r="N313" s="27"/>
      <c r="O313" s="27"/>
      <c r="P313" s="27"/>
      <c r="Q313" s="27"/>
      <c r="R313" s="27"/>
      <c r="S313" s="16"/>
      <c r="T313" s="27"/>
      <c r="U313" s="27"/>
    </row>
    <row r="314" spans="1:21">
      <c r="B314" s="22"/>
      <c r="C314" s="30"/>
      <c r="D314" s="29"/>
      <c r="E314" s="24"/>
      <c r="F314" s="17"/>
      <c r="G314" s="25"/>
      <c r="H314" s="25"/>
      <c r="I314" s="25"/>
      <c r="J314" s="26"/>
      <c r="K314" s="26"/>
      <c r="L314" s="26"/>
      <c r="M314" s="27"/>
      <c r="N314" s="27"/>
      <c r="O314" s="27"/>
      <c r="Q314" s="27"/>
      <c r="R314" s="27"/>
      <c r="S314" s="16"/>
      <c r="T314" s="27"/>
      <c r="U314" s="27"/>
    </row>
    <row r="315" spans="1:21">
      <c r="B315" s="22"/>
      <c r="C315" s="26"/>
      <c r="D315" s="31"/>
      <c r="E315" s="24"/>
      <c r="F315" s="17"/>
      <c r="G315" s="25"/>
      <c r="H315" s="25"/>
      <c r="I315" s="25"/>
      <c r="J315" s="26"/>
      <c r="K315" s="26"/>
      <c r="L315" s="26"/>
      <c r="M315" s="27"/>
      <c r="N315" s="27"/>
      <c r="O315" s="27"/>
      <c r="Q315" s="27"/>
      <c r="R315" s="27"/>
      <c r="S315" s="16"/>
      <c r="T315" s="27"/>
      <c r="U315" s="27"/>
    </row>
    <row r="316" spans="1:21">
      <c r="B316" s="22"/>
      <c r="C316" s="26"/>
      <c r="D316" s="31"/>
      <c r="E316" s="24"/>
      <c r="F316" s="17"/>
      <c r="G316" s="25"/>
      <c r="H316" s="25"/>
      <c r="I316" s="25"/>
      <c r="J316" s="26"/>
      <c r="K316" s="26"/>
      <c r="L316" s="26"/>
      <c r="M316" s="27"/>
      <c r="N316" s="27"/>
      <c r="O316" s="27"/>
      <c r="Q316" s="27"/>
      <c r="R316" s="27"/>
      <c r="S316" s="16"/>
      <c r="T316" s="27"/>
      <c r="U316" s="27"/>
    </row>
    <row r="317" spans="1:21">
      <c r="B317" s="22"/>
      <c r="C317" s="26"/>
      <c r="D317" s="31"/>
      <c r="E317" s="24"/>
      <c r="F317" s="17"/>
      <c r="G317" s="25"/>
      <c r="H317" s="25"/>
      <c r="I317" s="25"/>
      <c r="J317" s="26"/>
      <c r="K317" s="26"/>
      <c r="L317" s="26"/>
      <c r="M317" s="27"/>
      <c r="N317" s="27"/>
      <c r="O317" s="27"/>
      <c r="Q317" s="27"/>
      <c r="R317" s="27"/>
      <c r="S317" s="16"/>
      <c r="T317" s="27"/>
      <c r="U317" s="27"/>
    </row>
    <row r="318" spans="1:21">
      <c r="B318" s="22"/>
      <c r="C318" s="26"/>
      <c r="D318" s="31"/>
      <c r="E318" s="24"/>
      <c r="F318" s="17"/>
      <c r="G318" s="25"/>
      <c r="H318" s="25"/>
      <c r="I318" s="25"/>
      <c r="J318" s="26"/>
      <c r="K318" s="26"/>
      <c r="L318" s="26"/>
      <c r="M318" s="27"/>
      <c r="N318" s="27"/>
      <c r="O318" s="27"/>
      <c r="Q318" s="27"/>
      <c r="R318" s="27"/>
      <c r="S318" s="16"/>
      <c r="T318" s="27"/>
      <c r="U318" s="27"/>
    </row>
    <row r="319" spans="1:21">
      <c r="B319" s="22"/>
      <c r="C319" s="26"/>
      <c r="D319" s="29"/>
      <c r="E319" s="24"/>
      <c r="F319" s="17"/>
      <c r="G319" s="25"/>
      <c r="H319" s="25"/>
      <c r="I319" s="25"/>
      <c r="J319" s="26"/>
      <c r="K319" s="26"/>
      <c r="L319" s="26"/>
      <c r="M319" s="27"/>
      <c r="N319" s="27"/>
      <c r="O319" s="27"/>
      <c r="Q319" s="27"/>
      <c r="R319" s="27"/>
      <c r="S319" s="16"/>
      <c r="T319" s="27"/>
      <c r="U319" s="27"/>
    </row>
    <row r="320" spans="1:21">
      <c r="B320" s="22"/>
      <c r="C320" s="26"/>
      <c r="D320" s="29"/>
      <c r="E320" s="24"/>
      <c r="F320" s="17"/>
      <c r="G320" s="25"/>
      <c r="H320" s="25"/>
      <c r="I320" s="25"/>
      <c r="J320" s="26"/>
      <c r="K320" s="26"/>
      <c r="L320" s="26"/>
      <c r="M320" s="27"/>
      <c r="N320" s="27"/>
      <c r="O320" s="27"/>
      <c r="Q320" s="27"/>
      <c r="R320" s="27"/>
      <c r="S320" s="16"/>
      <c r="T320" s="27"/>
      <c r="U320" s="27"/>
    </row>
    <row r="321" spans="2:21">
      <c r="B321" s="22"/>
      <c r="C321" s="26"/>
      <c r="D321" s="29"/>
      <c r="E321" s="24"/>
      <c r="F321" s="17"/>
      <c r="G321" s="25"/>
      <c r="H321" s="25"/>
      <c r="I321" s="25"/>
      <c r="J321" s="26"/>
      <c r="K321" s="26"/>
      <c r="L321" s="26"/>
      <c r="M321" s="27"/>
      <c r="N321" s="27"/>
      <c r="O321" s="27"/>
      <c r="Q321" s="27"/>
      <c r="R321" s="27"/>
      <c r="S321" s="16"/>
      <c r="T321" s="27"/>
      <c r="U321" s="27"/>
    </row>
    <row r="322" spans="2:21">
      <c r="B322" s="22"/>
      <c r="C322" s="26"/>
      <c r="D322" s="29"/>
      <c r="E322" s="24"/>
      <c r="F322" s="17"/>
      <c r="G322" s="25"/>
      <c r="H322" s="25"/>
      <c r="I322" s="25"/>
      <c r="J322" s="26"/>
      <c r="K322" s="26"/>
      <c r="L322" s="26"/>
      <c r="M322" s="27"/>
      <c r="N322" s="27"/>
      <c r="O322" s="27"/>
      <c r="Q322" s="27"/>
      <c r="R322" s="27"/>
      <c r="S322" s="16"/>
      <c r="T322" s="27"/>
      <c r="U322" s="27"/>
    </row>
    <row r="323" spans="2:21">
      <c r="B323" s="22"/>
      <c r="C323" s="26"/>
      <c r="D323" s="29"/>
      <c r="E323" s="24"/>
      <c r="F323" s="17"/>
      <c r="G323" s="25"/>
      <c r="H323" s="25"/>
      <c r="I323" s="25"/>
      <c r="J323" s="26"/>
      <c r="K323" s="26"/>
      <c r="L323" s="26"/>
      <c r="M323" s="27"/>
      <c r="N323" s="27"/>
      <c r="O323" s="27"/>
      <c r="Q323" s="27"/>
      <c r="R323" s="27"/>
      <c r="S323" s="16"/>
      <c r="T323" s="27"/>
      <c r="U323" s="27"/>
    </row>
    <row r="324" spans="2:21">
      <c r="B324" s="22"/>
      <c r="C324" s="26"/>
      <c r="D324" s="29"/>
      <c r="E324" s="24"/>
      <c r="F324" s="17"/>
      <c r="G324" s="25"/>
      <c r="H324" s="25"/>
      <c r="I324" s="25"/>
      <c r="J324" s="26"/>
      <c r="K324" s="26"/>
      <c r="L324" s="26"/>
      <c r="M324" s="27"/>
      <c r="N324" s="27"/>
      <c r="O324" s="27"/>
      <c r="Q324" s="27"/>
      <c r="R324" s="27"/>
      <c r="S324" s="16"/>
      <c r="T324" s="27"/>
      <c r="U324" s="27"/>
    </row>
    <row r="325" spans="2:21">
      <c r="B325" s="22"/>
      <c r="C325" s="26"/>
      <c r="D325" s="29"/>
      <c r="E325" s="24"/>
      <c r="F325" s="17"/>
      <c r="G325" s="25"/>
      <c r="H325" s="25"/>
      <c r="I325" s="25"/>
      <c r="J325" s="26"/>
      <c r="K325" s="26"/>
      <c r="L325" s="26"/>
      <c r="M325" s="27"/>
      <c r="N325" s="27"/>
      <c r="O325" s="27"/>
      <c r="Q325" s="27"/>
      <c r="R325" s="27"/>
      <c r="S325" s="16"/>
      <c r="T325" s="27"/>
      <c r="U325" s="27"/>
    </row>
    <row r="326" spans="2:21">
      <c r="B326" s="22"/>
      <c r="C326" s="26"/>
      <c r="D326" s="29"/>
      <c r="E326" s="24"/>
      <c r="F326" s="17"/>
      <c r="G326" s="25"/>
      <c r="H326" s="25"/>
      <c r="I326" s="25"/>
      <c r="J326" s="26"/>
      <c r="K326" s="26"/>
      <c r="L326" s="26"/>
      <c r="M326" s="27"/>
      <c r="N326" s="27"/>
      <c r="O326" s="27"/>
      <c r="Q326" s="27"/>
      <c r="R326" s="27"/>
      <c r="S326" s="16"/>
      <c r="T326" s="27"/>
      <c r="U326" s="27"/>
    </row>
    <row r="327" spans="2:21">
      <c r="B327" s="22"/>
      <c r="C327" s="26"/>
      <c r="D327" s="29"/>
      <c r="E327" s="24"/>
      <c r="F327" s="17"/>
      <c r="G327" s="25"/>
      <c r="H327" s="25"/>
      <c r="I327" s="25"/>
      <c r="J327" s="26"/>
      <c r="K327" s="26"/>
      <c r="L327" s="26"/>
      <c r="M327" s="27"/>
      <c r="N327" s="27"/>
      <c r="O327" s="27"/>
      <c r="Q327" s="27"/>
      <c r="R327" s="27"/>
      <c r="S327" s="16"/>
      <c r="T327" s="27"/>
      <c r="U327" s="27"/>
    </row>
    <row r="328" spans="2:21">
      <c r="B328" s="22"/>
      <c r="C328" s="26"/>
      <c r="D328" s="29"/>
      <c r="E328" s="24"/>
      <c r="F328" s="17"/>
      <c r="G328" s="25"/>
      <c r="H328" s="25"/>
      <c r="I328" s="25"/>
      <c r="J328" s="26"/>
      <c r="K328" s="26"/>
      <c r="L328" s="26"/>
      <c r="M328" s="27"/>
      <c r="N328" s="27"/>
      <c r="O328" s="27"/>
      <c r="Q328" s="27"/>
      <c r="R328" s="27"/>
      <c r="S328" s="16"/>
      <c r="T328" s="27"/>
      <c r="U328" s="27"/>
    </row>
    <row r="329" spans="2:21">
      <c r="B329" s="22"/>
      <c r="C329" s="26"/>
      <c r="D329" s="29"/>
      <c r="E329" s="24"/>
      <c r="F329" s="17"/>
      <c r="G329" s="25"/>
      <c r="H329" s="25"/>
      <c r="I329" s="25"/>
      <c r="J329" s="26"/>
      <c r="K329" s="26"/>
      <c r="L329" s="26"/>
      <c r="M329" s="27"/>
      <c r="N329" s="27"/>
      <c r="O329" s="27"/>
      <c r="Q329" s="27"/>
      <c r="R329" s="27"/>
      <c r="S329" s="16"/>
      <c r="T329" s="27"/>
      <c r="U329" s="27"/>
    </row>
    <row r="330" spans="2:21">
      <c r="B330" s="22"/>
      <c r="C330" s="26"/>
      <c r="D330" s="29"/>
      <c r="E330" s="24"/>
      <c r="F330" s="17"/>
      <c r="G330" s="25"/>
      <c r="H330" s="25"/>
      <c r="I330" s="25"/>
      <c r="J330" s="26"/>
      <c r="K330" s="26"/>
      <c r="L330" s="26"/>
      <c r="M330" s="27"/>
      <c r="N330" s="27"/>
      <c r="O330" s="27"/>
      <c r="Q330" s="27"/>
      <c r="R330" s="27"/>
      <c r="S330" s="16"/>
      <c r="T330" s="27"/>
      <c r="U330" s="27"/>
    </row>
    <row r="331" spans="2:21">
      <c r="B331" s="22"/>
      <c r="C331" s="26"/>
      <c r="D331" s="29"/>
      <c r="E331" s="24"/>
      <c r="F331" s="17"/>
      <c r="G331" s="25"/>
      <c r="H331" s="25"/>
      <c r="I331" s="25"/>
      <c r="J331" s="26"/>
      <c r="K331" s="26"/>
      <c r="L331" s="26"/>
      <c r="M331" s="27"/>
      <c r="N331" s="27"/>
      <c r="O331" s="27"/>
      <c r="Q331" s="27"/>
      <c r="R331" s="27"/>
      <c r="S331" s="16"/>
      <c r="T331" s="27"/>
      <c r="U331" s="27"/>
    </row>
    <row r="332" spans="2:21">
      <c r="B332" s="22"/>
      <c r="C332" s="26"/>
      <c r="D332" s="29"/>
      <c r="E332" s="24"/>
      <c r="F332" s="17"/>
      <c r="G332" s="25"/>
      <c r="H332" s="25"/>
      <c r="I332" s="25"/>
      <c r="J332" s="26"/>
      <c r="K332" s="26"/>
      <c r="L332" s="26"/>
      <c r="M332" s="27"/>
      <c r="N332" s="27"/>
      <c r="O332" s="27"/>
      <c r="Q332" s="27"/>
      <c r="R332" s="27"/>
      <c r="S332" s="16"/>
      <c r="T332" s="27"/>
      <c r="U332" s="27"/>
    </row>
    <row r="334" spans="2:21">
      <c r="B334" s="11"/>
      <c r="D334" s="33"/>
    </row>
    <row r="335" spans="2:21">
      <c r="D335" s="26"/>
    </row>
    <row r="336" spans="2:21">
      <c r="D336" s="26"/>
    </row>
    <row r="337" spans="1:21">
      <c r="D337" s="26"/>
    </row>
    <row r="339" spans="1:21">
      <c r="B339" s="18"/>
      <c r="C339" s="18"/>
      <c r="D339" s="18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</row>
    <row r="340" spans="1:21">
      <c r="B340" s="20"/>
      <c r="C340" s="21"/>
      <c r="D340" s="21"/>
      <c r="E340" s="21"/>
      <c r="F340" s="20"/>
      <c r="G340" s="20"/>
      <c r="H340" s="20"/>
      <c r="I340" s="20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15"/>
      <c r="B341" s="22"/>
      <c r="C341" s="23"/>
      <c r="D341" s="23"/>
      <c r="E341" s="24"/>
      <c r="F341" s="17"/>
      <c r="G341" s="25"/>
      <c r="H341" s="25"/>
      <c r="I341" s="25"/>
      <c r="J341" s="26"/>
      <c r="K341" s="26"/>
      <c r="L341" s="26"/>
      <c r="M341" s="27"/>
      <c r="N341" s="27"/>
      <c r="O341" s="27"/>
      <c r="P341" s="27"/>
      <c r="Q341" s="27"/>
      <c r="R341" s="27"/>
      <c r="S341" s="16"/>
      <c r="T341" s="27"/>
      <c r="U341" s="27"/>
    </row>
    <row r="342" spans="1:21">
      <c r="B342" s="22"/>
      <c r="C342" s="23"/>
      <c r="D342" s="29"/>
      <c r="E342" s="24"/>
      <c r="F342" s="17"/>
      <c r="G342" s="25"/>
      <c r="H342" s="25"/>
      <c r="I342" s="25"/>
      <c r="J342" s="26"/>
      <c r="K342" s="26"/>
      <c r="L342" s="26"/>
      <c r="M342" s="27"/>
      <c r="N342" s="27"/>
      <c r="O342" s="27"/>
      <c r="P342" s="27"/>
      <c r="Q342" s="27"/>
      <c r="R342" s="27"/>
      <c r="S342" s="16"/>
      <c r="T342" s="27"/>
      <c r="U342" s="27"/>
    </row>
    <row r="343" spans="1:21">
      <c r="B343" s="22"/>
      <c r="C343" s="23"/>
      <c r="D343" s="29"/>
      <c r="E343" s="24"/>
      <c r="F343" s="17"/>
      <c r="G343" s="25"/>
      <c r="H343" s="25"/>
      <c r="I343" s="25"/>
      <c r="J343" s="26"/>
      <c r="K343" s="26"/>
      <c r="L343" s="26"/>
      <c r="M343" s="27"/>
      <c r="N343" s="27"/>
      <c r="O343" s="27"/>
      <c r="P343" s="27"/>
      <c r="Q343" s="27"/>
      <c r="R343" s="27"/>
      <c r="S343" s="16"/>
      <c r="T343" s="27"/>
      <c r="U343" s="27"/>
    </row>
    <row r="344" spans="1:21">
      <c r="B344" s="22"/>
      <c r="C344" s="23"/>
      <c r="D344" s="29"/>
      <c r="E344" s="24"/>
      <c r="F344" s="17"/>
      <c r="G344" s="25"/>
      <c r="H344" s="25"/>
      <c r="I344" s="25"/>
      <c r="J344" s="26"/>
      <c r="K344" s="26"/>
      <c r="L344" s="26"/>
      <c r="M344" s="27"/>
      <c r="N344" s="27"/>
      <c r="O344" s="27"/>
      <c r="P344" s="27"/>
      <c r="Q344" s="27"/>
      <c r="R344" s="27"/>
      <c r="S344" s="16"/>
      <c r="T344" s="27"/>
      <c r="U344" s="27"/>
    </row>
    <row r="345" spans="1:21">
      <c r="B345" s="22"/>
      <c r="C345" s="23"/>
      <c r="D345" s="29"/>
      <c r="E345" s="24"/>
      <c r="F345" s="17"/>
      <c r="G345" s="25"/>
      <c r="H345" s="25"/>
      <c r="I345" s="25"/>
      <c r="J345" s="26"/>
      <c r="K345" s="26"/>
      <c r="L345" s="26"/>
      <c r="M345" s="27"/>
      <c r="N345" s="27"/>
      <c r="O345" s="27"/>
      <c r="P345" s="27"/>
      <c r="Q345" s="27"/>
      <c r="R345" s="27"/>
      <c r="S345" s="16"/>
      <c r="T345" s="27"/>
      <c r="U345" s="27"/>
    </row>
    <row r="346" spans="1:21">
      <c r="B346" s="22"/>
      <c r="C346" s="23"/>
      <c r="D346" s="29"/>
      <c r="E346" s="24"/>
      <c r="F346" s="17"/>
      <c r="G346" s="25"/>
      <c r="H346" s="25"/>
      <c r="I346" s="25"/>
      <c r="J346" s="26"/>
      <c r="K346" s="26"/>
      <c r="L346" s="26"/>
      <c r="M346" s="27"/>
      <c r="N346" s="27"/>
      <c r="O346" s="27"/>
      <c r="P346" s="27"/>
      <c r="Q346" s="27"/>
      <c r="R346" s="27"/>
      <c r="S346" s="16"/>
      <c r="T346" s="27"/>
      <c r="U346" s="27"/>
    </row>
    <row r="347" spans="1:21">
      <c r="B347" s="22"/>
      <c r="C347" s="23"/>
      <c r="D347" s="29"/>
      <c r="E347" s="24"/>
      <c r="F347" s="17"/>
      <c r="G347" s="25"/>
      <c r="H347" s="25"/>
      <c r="I347" s="25"/>
      <c r="J347" s="26"/>
      <c r="K347" s="26"/>
      <c r="L347" s="26"/>
      <c r="M347" s="27"/>
      <c r="N347" s="27"/>
      <c r="O347" s="27"/>
      <c r="P347" s="27"/>
      <c r="Q347" s="27"/>
      <c r="R347" s="27"/>
      <c r="S347" s="16"/>
      <c r="T347" s="27"/>
      <c r="U347" s="27"/>
    </row>
    <row r="348" spans="1:21">
      <c r="B348" s="22"/>
      <c r="C348" s="23"/>
      <c r="D348" s="29"/>
      <c r="E348" s="24"/>
      <c r="F348" s="17"/>
      <c r="G348" s="25"/>
      <c r="H348" s="25"/>
      <c r="I348" s="25"/>
      <c r="J348" s="26"/>
      <c r="K348" s="26"/>
      <c r="L348" s="26"/>
      <c r="M348" s="27"/>
      <c r="N348" s="27"/>
      <c r="O348" s="27"/>
      <c r="P348" s="27"/>
      <c r="Q348" s="27"/>
      <c r="R348" s="27"/>
      <c r="S348" s="16"/>
      <c r="T348" s="27"/>
      <c r="U348" s="27"/>
    </row>
    <row r="349" spans="1:21">
      <c r="B349" s="22"/>
      <c r="C349" s="23"/>
      <c r="D349" s="29"/>
      <c r="E349" s="24"/>
      <c r="F349" s="17"/>
      <c r="G349" s="25"/>
      <c r="H349" s="25"/>
      <c r="I349" s="25"/>
      <c r="J349" s="26"/>
      <c r="K349" s="26"/>
      <c r="L349" s="26"/>
      <c r="M349" s="27"/>
      <c r="N349" s="27"/>
      <c r="O349" s="27"/>
      <c r="P349" s="27"/>
      <c r="Q349" s="27"/>
      <c r="R349" s="27"/>
      <c r="S349" s="16"/>
      <c r="T349" s="27"/>
      <c r="U349" s="27"/>
    </row>
    <row r="350" spans="1:21">
      <c r="B350" s="22"/>
      <c r="C350" s="23"/>
      <c r="D350" s="29"/>
      <c r="E350" s="24"/>
      <c r="F350" s="17"/>
      <c r="G350" s="25"/>
      <c r="H350" s="25"/>
      <c r="I350" s="25"/>
      <c r="J350" s="26"/>
      <c r="K350" s="26"/>
      <c r="L350" s="26"/>
      <c r="M350" s="27"/>
      <c r="N350" s="27"/>
      <c r="O350" s="27"/>
      <c r="P350" s="27"/>
      <c r="Q350" s="27"/>
      <c r="R350" s="27"/>
      <c r="S350" s="16"/>
      <c r="T350" s="27"/>
      <c r="U350" s="27"/>
    </row>
    <row r="351" spans="1:21">
      <c r="B351" s="22"/>
      <c r="C351" s="23"/>
      <c r="D351" s="29"/>
      <c r="E351" s="24"/>
      <c r="F351" s="17"/>
      <c r="G351" s="25"/>
      <c r="H351" s="25"/>
      <c r="I351" s="25"/>
      <c r="J351" s="26"/>
      <c r="K351" s="26"/>
      <c r="L351" s="26"/>
      <c r="M351" s="27"/>
      <c r="N351" s="27"/>
      <c r="O351" s="27"/>
      <c r="P351" s="27"/>
      <c r="Q351" s="27"/>
      <c r="R351" s="27"/>
      <c r="S351" s="16"/>
      <c r="T351" s="27"/>
      <c r="U351" s="27"/>
    </row>
    <row r="352" spans="1:21">
      <c r="B352" s="22"/>
      <c r="C352" s="23"/>
      <c r="D352" s="29"/>
      <c r="E352" s="24"/>
      <c r="F352" s="17"/>
      <c r="G352" s="25"/>
      <c r="H352" s="25"/>
      <c r="I352" s="25"/>
      <c r="J352" s="26"/>
      <c r="K352" s="26"/>
      <c r="L352" s="26"/>
      <c r="M352" s="27"/>
      <c r="N352" s="27"/>
      <c r="O352" s="27"/>
      <c r="P352" s="27"/>
      <c r="Q352" s="27"/>
      <c r="R352" s="27"/>
      <c r="S352" s="16"/>
      <c r="T352" s="27"/>
      <c r="U352" s="27"/>
    </row>
    <row r="353" spans="1:21">
      <c r="B353" s="22"/>
      <c r="C353" s="23"/>
      <c r="D353" s="29"/>
      <c r="E353" s="24"/>
      <c r="F353" s="17"/>
      <c r="G353" s="25"/>
      <c r="H353" s="25"/>
      <c r="I353" s="25"/>
      <c r="J353" s="26"/>
      <c r="K353" s="26"/>
      <c r="L353" s="26"/>
      <c r="M353" s="27"/>
      <c r="N353" s="27"/>
      <c r="O353" s="27"/>
      <c r="P353" s="27"/>
      <c r="Q353" s="27"/>
      <c r="R353" s="27"/>
      <c r="S353" s="16"/>
      <c r="T353" s="27"/>
      <c r="U353" s="27"/>
    </row>
    <row r="354" spans="1:21">
      <c r="B354" s="22"/>
      <c r="C354" s="23"/>
      <c r="D354" s="29"/>
      <c r="E354" s="24"/>
      <c r="F354" s="17"/>
      <c r="G354" s="25"/>
      <c r="H354" s="25"/>
      <c r="I354" s="25"/>
      <c r="J354" s="26"/>
      <c r="K354" s="26"/>
      <c r="L354" s="26"/>
      <c r="M354" s="27"/>
      <c r="N354" s="27"/>
      <c r="O354" s="27"/>
      <c r="P354" s="27"/>
      <c r="Q354" s="27"/>
      <c r="R354" s="27"/>
      <c r="S354" s="16"/>
      <c r="T354" s="27"/>
      <c r="U354" s="27"/>
    </row>
    <row r="355" spans="1:21">
      <c r="B355" s="22"/>
      <c r="C355" s="23"/>
      <c r="D355" s="29"/>
      <c r="E355" s="24"/>
      <c r="F355" s="17"/>
      <c r="G355" s="25"/>
      <c r="H355" s="25"/>
      <c r="I355" s="25"/>
      <c r="J355" s="26"/>
      <c r="K355" s="26"/>
      <c r="L355" s="26"/>
      <c r="M355" s="27"/>
      <c r="N355" s="27"/>
      <c r="O355" s="27"/>
      <c r="P355" s="27"/>
      <c r="Q355" s="27"/>
      <c r="R355" s="27"/>
      <c r="S355" s="16"/>
      <c r="T355" s="27"/>
      <c r="U355" s="27"/>
    </row>
    <row r="356" spans="1:21">
      <c r="B356" s="22"/>
      <c r="C356" s="23"/>
      <c r="D356" s="29"/>
      <c r="E356" s="24"/>
      <c r="F356" s="17"/>
      <c r="G356" s="25"/>
      <c r="H356" s="25"/>
      <c r="I356" s="25"/>
      <c r="J356" s="26"/>
      <c r="K356" s="26"/>
      <c r="L356" s="26"/>
      <c r="M356" s="27"/>
      <c r="N356" s="27"/>
      <c r="O356" s="27"/>
      <c r="P356" s="27"/>
      <c r="Q356" s="27"/>
      <c r="R356" s="27"/>
      <c r="S356" s="16"/>
      <c r="T356" s="27"/>
      <c r="U356" s="27"/>
    </row>
    <row r="357" spans="1:21">
      <c r="B357" s="22"/>
      <c r="C357" s="23"/>
      <c r="D357" s="29"/>
      <c r="E357" s="24"/>
      <c r="F357" s="17"/>
      <c r="G357" s="25"/>
      <c r="H357" s="25"/>
      <c r="I357" s="25"/>
      <c r="J357" s="26"/>
      <c r="K357" s="26"/>
      <c r="L357" s="26"/>
      <c r="M357" s="27"/>
      <c r="N357" s="27"/>
      <c r="O357" s="27"/>
      <c r="P357" s="27"/>
      <c r="Q357" s="27"/>
      <c r="R357" s="27"/>
      <c r="S357" s="16"/>
      <c r="T357" s="27"/>
      <c r="U357" s="27"/>
    </row>
    <row r="358" spans="1:21">
      <c r="B358" s="22"/>
      <c r="C358" s="23"/>
      <c r="D358" s="29"/>
      <c r="E358" s="24"/>
      <c r="F358" s="17"/>
      <c r="G358" s="25"/>
      <c r="H358" s="25"/>
      <c r="I358" s="25"/>
      <c r="J358" s="26"/>
      <c r="K358" s="26"/>
      <c r="L358" s="26"/>
      <c r="M358" s="27"/>
      <c r="N358" s="27"/>
      <c r="O358" s="27"/>
      <c r="P358" s="27"/>
      <c r="Q358" s="27"/>
      <c r="R358" s="27"/>
      <c r="S358" s="16"/>
      <c r="T358" s="27"/>
      <c r="U358" s="27"/>
    </row>
    <row r="359" spans="1:21">
      <c r="B359" s="22"/>
      <c r="C359" s="23"/>
      <c r="D359" s="29"/>
      <c r="E359" s="24"/>
      <c r="F359" s="17"/>
      <c r="G359" s="25"/>
      <c r="H359" s="25"/>
      <c r="I359" s="25"/>
      <c r="J359" s="26"/>
      <c r="K359" s="26"/>
      <c r="L359" s="26"/>
      <c r="M359" s="27"/>
      <c r="N359" s="27"/>
      <c r="O359" s="27"/>
      <c r="P359" s="27"/>
      <c r="Q359" s="27"/>
      <c r="R359" s="27"/>
      <c r="S359" s="16"/>
      <c r="T359" s="27"/>
      <c r="U359" s="27"/>
    </row>
    <row r="360" spans="1:21">
      <c r="B360" s="22"/>
      <c r="C360" s="23"/>
      <c r="D360" s="29"/>
      <c r="E360" s="24"/>
      <c r="F360" s="17"/>
      <c r="G360" s="25"/>
      <c r="H360" s="25"/>
      <c r="I360" s="25"/>
      <c r="J360" s="26"/>
      <c r="K360" s="26"/>
      <c r="L360" s="26"/>
      <c r="M360" s="27"/>
      <c r="N360" s="27"/>
      <c r="O360" s="27"/>
      <c r="P360" s="27"/>
      <c r="Q360" s="27"/>
      <c r="R360" s="27"/>
      <c r="S360" s="16"/>
      <c r="T360" s="27"/>
      <c r="U360" s="27"/>
    </row>
    <row r="362" spans="1:21">
      <c r="B362" s="18"/>
      <c r="C362" s="18"/>
      <c r="D362" s="18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</row>
    <row r="363" spans="1:21">
      <c r="C363" s="21"/>
      <c r="D363" s="21"/>
      <c r="E363" s="21"/>
      <c r="F363" s="20"/>
      <c r="G363" s="20"/>
      <c r="H363" s="20"/>
      <c r="I363" s="20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15"/>
      <c r="B364" s="22"/>
      <c r="C364" s="23"/>
      <c r="D364" s="23"/>
      <c r="E364" s="24"/>
      <c r="F364" s="17"/>
      <c r="G364" s="25"/>
      <c r="H364" s="25"/>
      <c r="I364" s="25"/>
      <c r="J364" s="26"/>
      <c r="K364" s="26"/>
      <c r="L364" s="26"/>
      <c r="M364" s="27"/>
      <c r="N364" s="27"/>
      <c r="O364" s="27"/>
      <c r="P364" s="27"/>
      <c r="Q364" s="27"/>
      <c r="R364" s="27"/>
      <c r="S364" s="16"/>
      <c r="T364" s="27"/>
      <c r="U364" s="27"/>
    </row>
    <row r="365" spans="1:21">
      <c r="B365" s="22"/>
      <c r="C365" s="30"/>
      <c r="D365" s="29"/>
      <c r="E365" s="24"/>
      <c r="F365" s="17"/>
      <c r="G365" s="25"/>
      <c r="H365" s="25"/>
      <c r="I365" s="25"/>
      <c r="J365" s="26"/>
      <c r="K365" s="26"/>
      <c r="L365" s="26"/>
      <c r="M365" s="27"/>
      <c r="N365" s="27"/>
      <c r="O365" s="27"/>
      <c r="Q365" s="27"/>
      <c r="R365" s="27"/>
      <c r="S365" s="16"/>
      <c r="T365" s="27"/>
      <c r="U365" s="27"/>
    </row>
    <row r="366" spans="1:21">
      <c r="B366" s="22"/>
      <c r="C366" s="26"/>
      <c r="D366" s="31"/>
      <c r="E366" s="24"/>
      <c r="F366" s="17"/>
      <c r="G366" s="25"/>
      <c r="H366" s="25"/>
      <c r="I366" s="25"/>
      <c r="J366" s="26"/>
      <c r="K366" s="26"/>
      <c r="L366" s="26"/>
      <c r="M366" s="27"/>
      <c r="N366" s="27"/>
      <c r="O366" s="27"/>
      <c r="Q366" s="27"/>
      <c r="R366" s="27"/>
      <c r="S366" s="16"/>
      <c r="T366" s="27"/>
      <c r="U366" s="27"/>
    </row>
    <row r="367" spans="1:21">
      <c r="B367" s="22"/>
      <c r="C367" s="26"/>
      <c r="D367" s="31"/>
      <c r="E367" s="24"/>
      <c r="F367" s="17"/>
      <c r="G367" s="25"/>
      <c r="H367" s="25"/>
      <c r="I367" s="25"/>
      <c r="J367" s="26"/>
      <c r="K367" s="26"/>
      <c r="L367" s="26"/>
      <c r="M367" s="27"/>
      <c r="N367" s="27"/>
      <c r="O367" s="27"/>
      <c r="Q367" s="27"/>
      <c r="R367" s="27"/>
      <c r="S367" s="16"/>
      <c r="T367" s="27"/>
      <c r="U367" s="27"/>
    </row>
    <row r="368" spans="1:21">
      <c r="B368" s="22"/>
      <c r="C368" s="26"/>
      <c r="D368" s="31"/>
      <c r="E368" s="24"/>
      <c r="F368" s="17"/>
      <c r="G368" s="25"/>
      <c r="H368" s="25"/>
      <c r="I368" s="25"/>
      <c r="J368" s="26"/>
      <c r="K368" s="26"/>
      <c r="L368" s="26"/>
      <c r="M368" s="27"/>
      <c r="N368" s="27"/>
      <c r="O368" s="27"/>
      <c r="Q368" s="27"/>
      <c r="R368" s="27"/>
      <c r="S368" s="16"/>
      <c r="T368" s="27"/>
      <c r="U368" s="27"/>
    </row>
    <row r="369" spans="2:21">
      <c r="B369" s="22"/>
      <c r="C369" s="26"/>
      <c r="D369" s="31"/>
      <c r="E369" s="24"/>
      <c r="F369" s="17"/>
      <c r="G369" s="25"/>
      <c r="H369" s="25"/>
      <c r="I369" s="25"/>
      <c r="J369" s="26"/>
      <c r="K369" s="26"/>
      <c r="L369" s="26"/>
      <c r="M369" s="27"/>
      <c r="N369" s="27"/>
      <c r="O369" s="27"/>
      <c r="Q369" s="27"/>
      <c r="R369" s="27"/>
      <c r="S369" s="16"/>
      <c r="T369" s="27"/>
      <c r="U369" s="27"/>
    </row>
    <row r="370" spans="2:21">
      <c r="B370" s="22"/>
      <c r="C370" s="26"/>
      <c r="D370" s="29"/>
      <c r="E370" s="24"/>
      <c r="F370" s="17"/>
      <c r="G370" s="25"/>
      <c r="H370" s="25"/>
      <c r="I370" s="25"/>
      <c r="J370" s="26"/>
      <c r="K370" s="26"/>
      <c r="L370" s="26"/>
      <c r="M370" s="27"/>
      <c r="N370" s="27"/>
      <c r="O370" s="27"/>
      <c r="Q370" s="27"/>
      <c r="R370" s="27"/>
      <c r="S370" s="16"/>
      <c r="T370" s="27"/>
      <c r="U370" s="27"/>
    </row>
    <row r="371" spans="2:21">
      <c r="B371" s="22"/>
      <c r="C371" s="26"/>
      <c r="D371" s="29"/>
      <c r="E371" s="24"/>
      <c r="F371" s="17"/>
      <c r="G371" s="25"/>
      <c r="H371" s="25"/>
      <c r="I371" s="25"/>
      <c r="J371" s="26"/>
      <c r="K371" s="26"/>
      <c r="L371" s="26"/>
      <c r="M371" s="27"/>
      <c r="N371" s="27"/>
      <c r="O371" s="27"/>
      <c r="Q371" s="27"/>
      <c r="R371" s="27"/>
      <c r="S371" s="16"/>
      <c r="T371" s="27"/>
      <c r="U371" s="27"/>
    </row>
    <row r="372" spans="2:21">
      <c r="B372" s="22"/>
      <c r="C372" s="26"/>
      <c r="D372" s="29"/>
      <c r="E372" s="24"/>
      <c r="F372" s="17"/>
      <c r="G372" s="25"/>
      <c r="H372" s="25"/>
      <c r="I372" s="25"/>
      <c r="J372" s="26"/>
      <c r="K372" s="26"/>
      <c r="L372" s="26"/>
      <c r="M372" s="27"/>
      <c r="N372" s="27"/>
      <c r="O372" s="27"/>
      <c r="Q372" s="27"/>
      <c r="R372" s="27"/>
      <c r="S372" s="16"/>
      <c r="T372" s="27"/>
      <c r="U372" s="27"/>
    </row>
    <row r="373" spans="2:21">
      <c r="B373" s="22"/>
      <c r="C373" s="26"/>
      <c r="D373" s="29"/>
      <c r="E373" s="24"/>
      <c r="F373" s="17"/>
      <c r="G373" s="25"/>
      <c r="H373" s="25"/>
      <c r="I373" s="25"/>
      <c r="J373" s="26"/>
      <c r="K373" s="26"/>
      <c r="L373" s="26"/>
      <c r="M373" s="27"/>
      <c r="N373" s="27"/>
      <c r="O373" s="27"/>
      <c r="Q373" s="27"/>
      <c r="R373" s="27"/>
      <c r="S373" s="16"/>
      <c r="T373" s="27"/>
      <c r="U373" s="27"/>
    </row>
    <row r="374" spans="2:21">
      <c r="B374" s="22"/>
      <c r="C374" s="26"/>
      <c r="D374" s="29"/>
      <c r="E374" s="24"/>
      <c r="F374" s="17"/>
      <c r="G374" s="25"/>
      <c r="H374" s="25"/>
      <c r="I374" s="25"/>
      <c r="J374" s="26"/>
      <c r="K374" s="26"/>
      <c r="L374" s="26"/>
      <c r="M374" s="27"/>
      <c r="N374" s="27"/>
      <c r="O374" s="27"/>
      <c r="Q374" s="27"/>
      <c r="R374" s="27"/>
      <c r="S374" s="16"/>
      <c r="T374" s="27"/>
      <c r="U374" s="27"/>
    </row>
    <row r="375" spans="2:21">
      <c r="B375" s="22"/>
      <c r="C375" s="26"/>
      <c r="D375" s="29"/>
      <c r="E375" s="24"/>
      <c r="F375" s="17"/>
      <c r="G375" s="25"/>
      <c r="H375" s="25"/>
      <c r="I375" s="25"/>
      <c r="J375" s="26"/>
      <c r="K375" s="26"/>
      <c r="L375" s="26"/>
      <c r="M375" s="27"/>
      <c r="N375" s="27"/>
      <c r="O375" s="27"/>
      <c r="Q375" s="27"/>
      <c r="R375" s="27"/>
      <c r="S375" s="16"/>
      <c r="T375" s="27"/>
      <c r="U375" s="27"/>
    </row>
    <row r="376" spans="2:21">
      <c r="B376" s="22"/>
      <c r="C376" s="26"/>
      <c r="D376" s="29"/>
      <c r="E376" s="24"/>
      <c r="F376" s="17"/>
      <c r="G376" s="25"/>
      <c r="H376" s="25"/>
      <c r="I376" s="25"/>
      <c r="J376" s="26"/>
      <c r="K376" s="26"/>
      <c r="L376" s="26"/>
      <c r="M376" s="27"/>
      <c r="N376" s="27"/>
      <c r="O376" s="27"/>
      <c r="Q376" s="27"/>
      <c r="R376" s="27"/>
      <c r="S376" s="16"/>
      <c r="T376" s="27"/>
      <c r="U376" s="27"/>
    </row>
    <row r="377" spans="2:21">
      <c r="B377" s="22"/>
      <c r="C377" s="26"/>
      <c r="D377" s="29"/>
      <c r="E377" s="24"/>
      <c r="F377" s="17"/>
      <c r="G377" s="25"/>
      <c r="H377" s="25"/>
      <c r="I377" s="25"/>
      <c r="J377" s="26"/>
      <c r="K377" s="26"/>
      <c r="L377" s="26"/>
      <c r="M377" s="27"/>
      <c r="N377" s="27"/>
      <c r="O377" s="27"/>
      <c r="Q377" s="27"/>
      <c r="R377" s="27"/>
      <c r="S377" s="16"/>
      <c r="T377" s="27"/>
      <c r="U377" s="27"/>
    </row>
    <row r="378" spans="2:21">
      <c r="B378" s="22"/>
      <c r="C378" s="26"/>
      <c r="D378" s="29"/>
      <c r="E378" s="24"/>
      <c r="F378" s="17"/>
      <c r="G378" s="25"/>
      <c r="H378" s="25"/>
      <c r="I378" s="25"/>
      <c r="J378" s="26"/>
      <c r="K378" s="26"/>
      <c r="L378" s="26"/>
      <c r="M378" s="27"/>
      <c r="N378" s="27"/>
      <c r="O378" s="27"/>
      <c r="Q378" s="27"/>
      <c r="R378" s="27"/>
      <c r="S378" s="16"/>
      <c r="T378" s="27"/>
      <c r="U378" s="27"/>
    </row>
    <row r="379" spans="2:21">
      <c r="B379" s="22"/>
      <c r="C379" s="26"/>
      <c r="D379" s="29"/>
      <c r="E379" s="24"/>
      <c r="F379" s="17"/>
      <c r="G379" s="25"/>
      <c r="H379" s="25"/>
      <c r="I379" s="25"/>
      <c r="J379" s="26"/>
      <c r="K379" s="26"/>
      <c r="L379" s="26"/>
      <c r="M379" s="27"/>
      <c r="N379" s="27"/>
      <c r="O379" s="27"/>
      <c r="Q379" s="27"/>
      <c r="R379" s="27"/>
      <c r="S379" s="16"/>
      <c r="T379" s="27"/>
      <c r="U379" s="27"/>
    </row>
    <row r="380" spans="2:21">
      <c r="B380" s="22"/>
      <c r="C380" s="26"/>
      <c r="D380" s="29"/>
      <c r="E380" s="24"/>
      <c r="F380" s="17"/>
      <c r="G380" s="25"/>
      <c r="H380" s="25"/>
      <c r="I380" s="25"/>
      <c r="J380" s="26"/>
      <c r="K380" s="26"/>
      <c r="L380" s="26"/>
      <c r="M380" s="27"/>
      <c r="N380" s="27"/>
      <c r="O380" s="27"/>
      <c r="Q380" s="27"/>
      <c r="R380" s="27"/>
      <c r="S380" s="16"/>
      <c r="T380" s="27"/>
      <c r="U380" s="27"/>
    </row>
    <row r="381" spans="2:21">
      <c r="B381" s="22"/>
      <c r="C381" s="26"/>
      <c r="D381" s="29"/>
      <c r="E381" s="24"/>
      <c r="F381" s="17"/>
      <c r="G381" s="25"/>
      <c r="H381" s="25"/>
      <c r="I381" s="25"/>
      <c r="J381" s="26"/>
      <c r="K381" s="26"/>
      <c r="L381" s="26"/>
      <c r="M381" s="27"/>
      <c r="N381" s="27"/>
      <c r="O381" s="27"/>
      <c r="Q381" s="27"/>
      <c r="R381" s="27"/>
      <c r="S381" s="16"/>
      <c r="T381" s="27"/>
      <c r="U381" s="27"/>
    </row>
    <row r="382" spans="2:21">
      <c r="B382" s="22"/>
      <c r="C382" s="26"/>
      <c r="D382" s="29"/>
      <c r="E382" s="24"/>
      <c r="F382" s="17"/>
      <c r="G382" s="25"/>
      <c r="H382" s="25"/>
      <c r="I382" s="25"/>
      <c r="J382" s="26"/>
      <c r="K382" s="26"/>
      <c r="L382" s="26"/>
      <c r="M382" s="27"/>
      <c r="N382" s="27"/>
      <c r="O382" s="27"/>
      <c r="Q382" s="27"/>
      <c r="R382" s="27"/>
      <c r="S382" s="16"/>
      <c r="T382" s="27"/>
      <c r="U382" s="27"/>
    </row>
    <row r="383" spans="2:21">
      <c r="B383" s="22"/>
      <c r="C383" s="26"/>
      <c r="D383" s="29"/>
      <c r="E383" s="24"/>
      <c r="F383" s="17"/>
      <c r="G383" s="25"/>
      <c r="H383" s="25"/>
      <c r="I383" s="25"/>
      <c r="J383" s="26"/>
      <c r="K383" s="26"/>
      <c r="L383" s="26"/>
      <c r="M383" s="27"/>
      <c r="N383" s="27"/>
      <c r="O383" s="27"/>
      <c r="Q383" s="27"/>
      <c r="R383" s="27"/>
      <c r="S383" s="16"/>
      <c r="T383" s="27"/>
      <c r="U383" s="27"/>
    </row>
    <row r="385" spans="1:21">
      <c r="B385" s="11"/>
      <c r="D385" s="33"/>
    </row>
    <row r="386" spans="1:21">
      <c r="D386" s="26"/>
    </row>
    <row r="387" spans="1:21">
      <c r="D387" s="26"/>
    </row>
    <row r="388" spans="1:21">
      <c r="D388" s="26"/>
    </row>
    <row r="390" spans="1:21">
      <c r="B390" s="18"/>
      <c r="C390" s="18"/>
      <c r="D390" s="18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</row>
    <row r="391" spans="1:21">
      <c r="B391" s="20"/>
      <c r="C391" s="21"/>
      <c r="D391" s="21"/>
      <c r="E391" s="21"/>
      <c r="F391" s="20"/>
      <c r="G391" s="20"/>
      <c r="H391" s="20"/>
      <c r="I391" s="20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15"/>
      <c r="B392" s="22"/>
      <c r="C392" s="23"/>
      <c r="D392" s="23"/>
      <c r="E392" s="24"/>
      <c r="F392" s="17"/>
      <c r="G392" s="25"/>
      <c r="H392" s="25"/>
      <c r="I392" s="25"/>
      <c r="J392" s="26"/>
      <c r="K392" s="26"/>
      <c r="L392" s="26"/>
      <c r="M392" s="27"/>
      <c r="N392" s="27"/>
      <c r="O392" s="27"/>
      <c r="P392" s="27"/>
      <c r="Q392" s="27"/>
      <c r="R392" s="27"/>
      <c r="S392" s="16"/>
      <c r="T392" s="27"/>
      <c r="U392" s="27"/>
    </row>
    <row r="393" spans="1:21">
      <c r="B393" s="22"/>
      <c r="C393" s="23"/>
      <c r="D393" s="29"/>
      <c r="E393" s="24"/>
      <c r="F393" s="17"/>
      <c r="G393" s="25"/>
      <c r="H393" s="25"/>
      <c r="I393" s="25"/>
      <c r="J393" s="26"/>
      <c r="K393" s="26"/>
      <c r="L393" s="26"/>
      <c r="M393" s="27"/>
      <c r="N393" s="27"/>
      <c r="O393" s="27"/>
      <c r="P393" s="27"/>
      <c r="Q393" s="27"/>
      <c r="R393" s="27"/>
      <c r="S393" s="16"/>
      <c r="T393" s="27"/>
      <c r="U393" s="27"/>
    </row>
    <row r="394" spans="1:21">
      <c r="B394" s="22"/>
      <c r="C394" s="23"/>
      <c r="D394" s="29"/>
      <c r="E394" s="24"/>
      <c r="F394" s="17"/>
      <c r="G394" s="25"/>
      <c r="H394" s="25"/>
      <c r="I394" s="25"/>
      <c r="J394" s="26"/>
      <c r="K394" s="26"/>
      <c r="L394" s="26"/>
      <c r="M394" s="27"/>
      <c r="N394" s="27"/>
      <c r="O394" s="27"/>
      <c r="P394" s="27"/>
      <c r="Q394" s="27"/>
      <c r="R394" s="27"/>
      <c r="S394" s="16"/>
      <c r="T394" s="27"/>
      <c r="U394" s="27"/>
    </row>
    <row r="395" spans="1:21">
      <c r="B395" s="22"/>
      <c r="C395" s="23"/>
      <c r="D395" s="29"/>
      <c r="E395" s="24"/>
      <c r="F395" s="17"/>
      <c r="G395" s="25"/>
      <c r="H395" s="25"/>
      <c r="I395" s="25"/>
      <c r="J395" s="26"/>
      <c r="K395" s="26"/>
      <c r="L395" s="26"/>
      <c r="M395" s="27"/>
      <c r="N395" s="27"/>
      <c r="O395" s="27"/>
      <c r="P395" s="27"/>
      <c r="Q395" s="27"/>
      <c r="R395" s="27"/>
      <c r="S395" s="16"/>
      <c r="T395" s="27"/>
      <c r="U395" s="27"/>
    </row>
    <row r="396" spans="1:21">
      <c r="B396" s="22"/>
      <c r="C396" s="23"/>
      <c r="D396" s="29"/>
      <c r="E396" s="24"/>
      <c r="F396" s="17"/>
      <c r="G396" s="25"/>
      <c r="H396" s="25"/>
      <c r="I396" s="25"/>
      <c r="J396" s="26"/>
      <c r="K396" s="26"/>
      <c r="L396" s="26"/>
      <c r="M396" s="27"/>
      <c r="N396" s="27"/>
      <c r="O396" s="27"/>
      <c r="P396" s="27"/>
      <c r="Q396" s="27"/>
      <c r="R396" s="27"/>
      <c r="S396" s="16"/>
      <c r="T396" s="27"/>
      <c r="U396" s="27"/>
    </row>
    <row r="397" spans="1:21">
      <c r="B397" s="22"/>
      <c r="C397" s="23"/>
      <c r="D397" s="29"/>
      <c r="E397" s="24"/>
      <c r="F397" s="17"/>
      <c r="G397" s="25"/>
      <c r="H397" s="25"/>
      <c r="I397" s="25"/>
      <c r="J397" s="26"/>
      <c r="K397" s="26"/>
      <c r="L397" s="26"/>
      <c r="M397" s="27"/>
      <c r="N397" s="27"/>
      <c r="O397" s="27"/>
      <c r="P397" s="27"/>
      <c r="Q397" s="27"/>
      <c r="R397" s="27"/>
      <c r="S397" s="16"/>
      <c r="T397" s="27"/>
      <c r="U397" s="27"/>
    </row>
    <row r="398" spans="1:21">
      <c r="B398" s="22"/>
      <c r="C398" s="23"/>
      <c r="D398" s="29"/>
      <c r="E398" s="24"/>
      <c r="F398" s="17"/>
      <c r="G398" s="25"/>
      <c r="H398" s="25"/>
      <c r="I398" s="25"/>
      <c r="J398" s="26"/>
      <c r="K398" s="26"/>
      <c r="L398" s="26"/>
      <c r="M398" s="27"/>
      <c r="N398" s="27"/>
      <c r="O398" s="27"/>
      <c r="P398" s="27"/>
      <c r="Q398" s="27"/>
      <c r="R398" s="27"/>
      <c r="S398" s="16"/>
      <c r="T398" s="27"/>
      <c r="U398" s="27"/>
    </row>
    <row r="399" spans="1:21">
      <c r="B399" s="22"/>
      <c r="C399" s="23"/>
      <c r="D399" s="29"/>
      <c r="E399" s="24"/>
      <c r="F399" s="17"/>
      <c r="G399" s="25"/>
      <c r="H399" s="25"/>
      <c r="I399" s="25"/>
      <c r="J399" s="26"/>
      <c r="K399" s="26"/>
      <c r="L399" s="26"/>
      <c r="M399" s="27"/>
      <c r="N399" s="27"/>
      <c r="O399" s="27"/>
      <c r="P399" s="27"/>
      <c r="Q399" s="27"/>
      <c r="R399" s="27"/>
      <c r="S399" s="16"/>
      <c r="T399" s="27"/>
      <c r="U399" s="27"/>
    </row>
    <row r="400" spans="1:21">
      <c r="B400" s="22"/>
      <c r="C400" s="23"/>
      <c r="D400" s="29"/>
      <c r="E400" s="24"/>
      <c r="F400" s="17"/>
      <c r="G400" s="25"/>
      <c r="H400" s="25"/>
      <c r="I400" s="25"/>
      <c r="J400" s="26"/>
      <c r="K400" s="26"/>
      <c r="L400" s="26"/>
      <c r="M400" s="27"/>
      <c r="N400" s="27"/>
      <c r="O400" s="27"/>
      <c r="P400" s="27"/>
      <c r="Q400" s="27"/>
      <c r="R400" s="27"/>
      <c r="S400" s="16"/>
      <c r="T400" s="27"/>
      <c r="U400" s="27"/>
    </row>
    <row r="401" spans="1:21">
      <c r="B401" s="22"/>
      <c r="C401" s="23"/>
      <c r="D401" s="29"/>
      <c r="E401" s="24"/>
      <c r="F401" s="17"/>
      <c r="G401" s="25"/>
      <c r="H401" s="25"/>
      <c r="I401" s="25"/>
      <c r="J401" s="26"/>
      <c r="K401" s="26"/>
      <c r="L401" s="26"/>
      <c r="M401" s="27"/>
      <c r="N401" s="27"/>
      <c r="O401" s="27"/>
      <c r="P401" s="27"/>
      <c r="Q401" s="27"/>
      <c r="R401" s="27"/>
      <c r="S401" s="16"/>
      <c r="T401" s="27"/>
      <c r="U401" s="27"/>
    </row>
    <row r="402" spans="1:21">
      <c r="B402" s="22"/>
      <c r="C402" s="23"/>
      <c r="D402" s="29"/>
      <c r="E402" s="24"/>
      <c r="F402" s="17"/>
      <c r="G402" s="25"/>
      <c r="H402" s="25"/>
      <c r="I402" s="25"/>
      <c r="J402" s="26"/>
      <c r="K402" s="26"/>
      <c r="L402" s="26"/>
      <c r="M402" s="27"/>
      <c r="N402" s="27"/>
      <c r="O402" s="27"/>
      <c r="P402" s="27"/>
      <c r="Q402" s="27"/>
      <c r="R402" s="27"/>
      <c r="S402" s="16"/>
      <c r="T402" s="27"/>
      <c r="U402" s="27"/>
    </row>
    <row r="403" spans="1:21">
      <c r="B403" s="22"/>
      <c r="C403" s="23"/>
      <c r="D403" s="29"/>
      <c r="E403" s="24"/>
      <c r="F403" s="17"/>
      <c r="G403" s="25"/>
      <c r="H403" s="25"/>
      <c r="I403" s="25"/>
      <c r="J403" s="26"/>
      <c r="K403" s="26"/>
      <c r="L403" s="26"/>
      <c r="M403" s="27"/>
      <c r="N403" s="27"/>
      <c r="O403" s="27"/>
      <c r="P403" s="27"/>
      <c r="Q403" s="27"/>
      <c r="R403" s="27"/>
      <c r="S403" s="16"/>
      <c r="T403" s="27"/>
      <c r="U403" s="27"/>
    </row>
    <row r="404" spans="1:21">
      <c r="B404" s="22"/>
      <c r="C404" s="23"/>
      <c r="D404" s="29"/>
      <c r="E404" s="24"/>
      <c r="F404" s="17"/>
      <c r="G404" s="25"/>
      <c r="H404" s="25"/>
      <c r="I404" s="25"/>
      <c r="J404" s="26"/>
      <c r="K404" s="26"/>
      <c r="L404" s="26"/>
      <c r="M404" s="27"/>
      <c r="N404" s="27"/>
      <c r="O404" s="27"/>
      <c r="P404" s="27"/>
      <c r="Q404" s="27"/>
      <c r="R404" s="27"/>
      <c r="S404" s="16"/>
      <c r="T404" s="27"/>
      <c r="U404" s="27"/>
    </row>
    <row r="405" spans="1:21">
      <c r="B405" s="22"/>
      <c r="C405" s="23"/>
      <c r="D405" s="29"/>
      <c r="E405" s="24"/>
      <c r="F405" s="17"/>
      <c r="G405" s="25"/>
      <c r="H405" s="25"/>
      <c r="I405" s="25"/>
      <c r="J405" s="26"/>
      <c r="K405" s="26"/>
      <c r="L405" s="26"/>
      <c r="M405" s="27"/>
      <c r="N405" s="27"/>
      <c r="O405" s="27"/>
      <c r="P405" s="27"/>
      <c r="Q405" s="27"/>
      <c r="R405" s="27"/>
      <c r="S405" s="16"/>
      <c r="T405" s="27"/>
      <c r="U405" s="27"/>
    </row>
    <row r="406" spans="1:21">
      <c r="B406" s="22"/>
      <c r="C406" s="23"/>
      <c r="D406" s="29"/>
      <c r="E406" s="24"/>
      <c r="F406" s="17"/>
      <c r="G406" s="25"/>
      <c r="H406" s="25"/>
      <c r="I406" s="25"/>
      <c r="J406" s="26"/>
      <c r="K406" s="26"/>
      <c r="L406" s="26"/>
      <c r="M406" s="27"/>
      <c r="N406" s="27"/>
      <c r="O406" s="27"/>
      <c r="P406" s="27"/>
      <c r="Q406" s="27"/>
      <c r="R406" s="27"/>
      <c r="S406" s="16"/>
      <c r="T406" s="27"/>
      <c r="U406" s="27"/>
    </row>
    <row r="407" spans="1:21">
      <c r="B407" s="22"/>
      <c r="C407" s="23"/>
      <c r="D407" s="29"/>
      <c r="E407" s="24"/>
      <c r="F407" s="17"/>
      <c r="G407" s="25"/>
      <c r="H407" s="25"/>
      <c r="I407" s="25"/>
      <c r="J407" s="26"/>
      <c r="K407" s="26"/>
      <c r="L407" s="26"/>
      <c r="M407" s="27"/>
      <c r="N407" s="27"/>
      <c r="O407" s="27"/>
      <c r="P407" s="27"/>
      <c r="Q407" s="27"/>
      <c r="R407" s="27"/>
      <c r="S407" s="16"/>
      <c r="T407" s="27"/>
      <c r="U407" s="27"/>
    </row>
    <row r="408" spans="1:21">
      <c r="B408" s="22"/>
      <c r="C408" s="23"/>
      <c r="D408" s="29"/>
      <c r="E408" s="24"/>
      <c r="F408" s="17"/>
      <c r="G408" s="25"/>
      <c r="H408" s="25"/>
      <c r="I408" s="25"/>
      <c r="J408" s="26"/>
      <c r="K408" s="26"/>
      <c r="L408" s="26"/>
      <c r="M408" s="27"/>
      <c r="N408" s="27"/>
      <c r="O408" s="27"/>
      <c r="P408" s="27"/>
      <c r="Q408" s="27"/>
      <c r="R408" s="27"/>
      <c r="S408" s="16"/>
      <c r="T408" s="27"/>
      <c r="U408" s="27"/>
    </row>
    <row r="409" spans="1:21">
      <c r="B409" s="22"/>
      <c r="C409" s="23"/>
      <c r="D409" s="29"/>
      <c r="E409" s="24"/>
      <c r="F409" s="17"/>
      <c r="G409" s="25"/>
      <c r="H409" s="25"/>
      <c r="I409" s="25"/>
      <c r="J409" s="26"/>
      <c r="K409" s="26"/>
      <c r="L409" s="26"/>
      <c r="M409" s="27"/>
      <c r="N409" s="27"/>
      <c r="O409" s="27"/>
      <c r="P409" s="27"/>
      <c r="Q409" s="27"/>
      <c r="R409" s="27"/>
      <c r="S409" s="16"/>
      <c r="T409" s="27"/>
      <c r="U409" s="27"/>
    </row>
    <row r="410" spans="1:21">
      <c r="B410" s="22"/>
      <c r="C410" s="23"/>
      <c r="D410" s="29"/>
      <c r="E410" s="24"/>
      <c r="F410" s="17"/>
      <c r="G410" s="25"/>
      <c r="H410" s="25"/>
      <c r="I410" s="25"/>
      <c r="J410" s="26"/>
      <c r="K410" s="26"/>
      <c r="L410" s="26"/>
      <c r="M410" s="27"/>
      <c r="N410" s="27"/>
      <c r="O410" s="27"/>
      <c r="P410" s="27"/>
      <c r="Q410" s="27"/>
      <c r="R410" s="27"/>
      <c r="S410" s="16"/>
      <c r="T410" s="27"/>
      <c r="U410" s="27"/>
    </row>
    <row r="411" spans="1:21">
      <c r="B411" s="22"/>
      <c r="C411" s="23"/>
      <c r="D411" s="29"/>
      <c r="E411" s="24"/>
      <c r="F411" s="17"/>
      <c r="G411" s="25"/>
      <c r="H411" s="25"/>
      <c r="I411" s="25"/>
      <c r="J411" s="26"/>
      <c r="K411" s="26"/>
      <c r="L411" s="26"/>
      <c r="M411" s="27"/>
      <c r="N411" s="27"/>
      <c r="O411" s="27"/>
      <c r="P411" s="27"/>
      <c r="Q411" s="27"/>
      <c r="R411" s="27"/>
      <c r="S411" s="16"/>
      <c r="T411" s="27"/>
      <c r="U411" s="27"/>
    </row>
    <row r="413" spans="1:21">
      <c r="B413" s="18"/>
      <c r="C413" s="18"/>
      <c r="D413" s="18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</row>
    <row r="414" spans="1:21">
      <c r="C414" s="21"/>
      <c r="D414" s="21"/>
      <c r="E414" s="21"/>
      <c r="F414" s="20"/>
      <c r="G414" s="20"/>
      <c r="H414" s="20"/>
      <c r="I414" s="20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15"/>
      <c r="B415" s="22"/>
      <c r="C415" s="23"/>
      <c r="D415" s="23"/>
      <c r="E415" s="24"/>
      <c r="F415" s="17"/>
      <c r="G415" s="25"/>
      <c r="H415" s="25"/>
      <c r="I415" s="25"/>
      <c r="J415" s="26"/>
      <c r="K415" s="26"/>
      <c r="L415" s="26"/>
      <c r="M415" s="27"/>
      <c r="N415" s="27"/>
      <c r="O415" s="27"/>
      <c r="P415" s="27"/>
      <c r="Q415" s="27"/>
      <c r="R415" s="27"/>
      <c r="S415" s="16"/>
      <c r="T415" s="27"/>
      <c r="U415" s="27"/>
    </row>
    <row r="416" spans="1:21">
      <c r="B416" s="22"/>
      <c r="C416" s="30"/>
      <c r="D416" s="29"/>
      <c r="E416" s="24"/>
      <c r="F416" s="17"/>
      <c r="G416" s="25"/>
      <c r="H416" s="25"/>
      <c r="I416" s="25"/>
      <c r="J416" s="26"/>
      <c r="K416" s="26"/>
      <c r="L416" s="26"/>
      <c r="M416" s="27"/>
      <c r="N416" s="27"/>
      <c r="O416" s="27"/>
      <c r="Q416" s="27"/>
      <c r="R416" s="27"/>
      <c r="S416" s="16"/>
      <c r="T416" s="27"/>
      <c r="U416" s="27"/>
    </row>
    <row r="417" spans="2:21">
      <c r="B417" s="22"/>
      <c r="C417" s="26"/>
      <c r="D417" s="31"/>
      <c r="E417" s="24"/>
      <c r="F417" s="17"/>
      <c r="G417" s="25"/>
      <c r="H417" s="25"/>
      <c r="I417" s="25"/>
      <c r="J417" s="26"/>
      <c r="K417" s="26"/>
      <c r="L417" s="26"/>
      <c r="M417" s="27"/>
      <c r="N417" s="27"/>
      <c r="O417" s="27"/>
      <c r="Q417" s="27"/>
      <c r="R417" s="27"/>
      <c r="S417" s="16"/>
      <c r="T417" s="27"/>
      <c r="U417" s="27"/>
    </row>
    <row r="418" spans="2:21">
      <c r="B418" s="22"/>
      <c r="C418" s="26"/>
      <c r="D418" s="31"/>
      <c r="E418" s="24"/>
      <c r="F418" s="17"/>
      <c r="G418" s="25"/>
      <c r="H418" s="25"/>
      <c r="I418" s="25"/>
      <c r="J418" s="26"/>
      <c r="K418" s="26"/>
      <c r="L418" s="26"/>
      <c r="M418" s="27"/>
      <c r="N418" s="27"/>
      <c r="O418" s="27"/>
      <c r="Q418" s="27"/>
      <c r="R418" s="27"/>
      <c r="S418" s="16"/>
      <c r="T418" s="27"/>
      <c r="U418" s="27"/>
    </row>
    <row r="419" spans="2:21">
      <c r="B419" s="22"/>
      <c r="C419" s="26"/>
      <c r="D419" s="31"/>
      <c r="E419" s="24"/>
      <c r="F419" s="17"/>
      <c r="G419" s="25"/>
      <c r="H419" s="25"/>
      <c r="I419" s="25"/>
      <c r="J419" s="26"/>
      <c r="K419" s="26"/>
      <c r="L419" s="26"/>
      <c r="M419" s="27"/>
      <c r="N419" s="27"/>
      <c r="O419" s="27"/>
      <c r="Q419" s="27"/>
      <c r="R419" s="27"/>
      <c r="S419" s="16"/>
      <c r="T419" s="27"/>
      <c r="U419" s="27"/>
    </row>
    <row r="420" spans="2:21">
      <c r="B420" s="22"/>
      <c r="C420" s="26"/>
      <c r="D420" s="31"/>
      <c r="E420" s="24"/>
      <c r="F420" s="17"/>
      <c r="G420" s="25"/>
      <c r="H420" s="25"/>
      <c r="I420" s="25"/>
      <c r="J420" s="26"/>
      <c r="K420" s="26"/>
      <c r="L420" s="26"/>
      <c r="M420" s="27"/>
      <c r="N420" s="27"/>
      <c r="O420" s="27"/>
      <c r="Q420" s="27"/>
      <c r="R420" s="27"/>
      <c r="S420" s="16"/>
      <c r="T420" s="27"/>
      <c r="U420" s="27"/>
    </row>
    <row r="421" spans="2:21">
      <c r="B421" s="22"/>
      <c r="C421" s="26"/>
      <c r="D421" s="29"/>
      <c r="E421" s="24"/>
      <c r="F421" s="17"/>
      <c r="G421" s="25"/>
      <c r="H421" s="25"/>
      <c r="I421" s="25"/>
      <c r="J421" s="26"/>
      <c r="K421" s="26"/>
      <c r="L421" s="26"/>
      <c r="M421" s="27"/>
      <c r="N421" s="27"/>
      <c r="O421" s="27"/>
      <c r="Q421" s="27"/>
      <c r="R421" s="27"/>
      <c r="S421" s="16"/>
      <c r="T421" s="27"/>
      <c r="U421" s="27"/>
    </row>
    <row r="422" spans="2:21">
      <c r="B422" s="22"/>
      <c r="C422" s="26"/>
      <c r="D422" s="29"/>
      <c r="E422" s="24"/>
      <c r="F422" s="17"/>
      <c r="G422" s="25"/>
      <c r="H422" s="25"/>
      <c r="I422" s="25"/>
      <c r="J422" s="26"/>
      <c r="K422" s="26"/>
      <c r="L422" s="26"/>
      <c r="M422" s="27"/>
      <c r="N422" s="27"/>
      <c r="O422" s="27"/>
      <c r="Q422" s="27"/>
      <c r="R422" s="27"/>
      <c r="S422" s="16"/>
      <c r="T422" s="27"/>
      <c r="U422" s="27"/>
    </row>
    <row r="423" spans="2:21">
      <c r="B423" s="22"/>
      <c r="C423" s="26"/>
      <c r="D423" s="29"/>
      <c r="E423" s="24"/>
      <c r="F423" s="17"/>
      <c r="G423" s="25"/>
      <c r="H423" s="25"/>
      <c r="I423" s="25"/>
      <c r="J423" s="26"/>
      <c r="K423" s="26"/>
      <c r="L423" s="26"/>
      <c r="M423" s="27"/>
      <c r="N423" s="27"/>
      <c r="O423" s="27"/>
      <c r="Q423" s="27"/>
      <c r="R423" s="27"/>
      <c r="S423" s="16"/>
      <c r="T423" s="27"/>
      <c r="U423" s="27"/>
    </row>
    <row r="424" spans="2:21">
      <c r="B424" s="22"/>
      <c r="C424" s="26"/>
      <c r="D424" s="29"/>
      <c r="E424" s="24"/>
      <c r="F424" s="17"/>
      <c r="G424" s="25"/>
      <c r="H424" s="25"/>
      <c r="I424" s="25"/>
      <c r="J424" s="26"/>
      <c r="K424" s="26"/>
      <c r="L424" s="26"/>
      <c r="M424" s="27"/>
      <c r="N424" s="27"/>
      <c r="O424" s="27"/>
      <c r="Q424" s="27"/>
      <c r="R424" s="27"/>
      <c r="S424" s="16"/>
      <c r="T424" s="27"/>
      <c r="U424" s="27"/>
    </row>
    <row r="425" spans="2:21">
      <c r="B425" s="22"/>
      <c r="C425" s="26"/>
      <c r="D425" s="29"/>
      <c r="E425" s="24"/>
      <c r="F425" s="17"/>
      <c r="G425" s="25"/>
      <c r="H425" s="25"/>
      <c r="I425" s="25"/>
      <c r="J425" s="26"/>
      <c r="K425" s="26"/>
      <c r="L425" s="26"/>
      <c r="M425" s="27"/>
      <c r="N425" s="27"/>
      <c r="O425" s="27"/>
      <c r="Q425" s="27"/>
      <c r="R425" s="27"/>
      <c r="S425" s="16"/>
      <c r="T425" s="27"/>
      <c r="U425" s="27"/>
    </row>
    <row r="426" spans="2:21">
      <c r="B426" s="22"/>
      <c r="C426" s="26"/>
      <c r="D426" s="29"/>
      <c r="E426" s="24"/>
      <c r="F426" s="17"/>
      <c r="G426" s="25"/>
      <c r="H426" s="25"/>
      <c r="I426" s="25"/>
      <c r="J426" s="26"/>
      <c r="K426" s="26"/>
      <c r="L426" s="26"/>
      <c r="M426" s="27"/>
      <c r="N426" s="27"/>
      <c r="O426" s="27"/>
      <c r="Q426" s="27"/>
      <c r="R426" s="27"/>
      <c r="S426" s="16"/>
      <c r="T426" s="27"/>
      <c r="U426" s="27"/>
    </row>
    <row r="427" spans="2:21">
      <c r="B427" s="22"/>
      <c r="C427" s="26"/>
      <c r="D427" s="29"/>
      <c r="E427" s="24"/>
      <c r="F427" s="17"/>
      <c r="G427" s="25"/>
      <c r="H427" s="25"/>
      <c r="I427" s="25"/>
      <c r="J427" s="26"/>
      <c r="K427" s="26"/>
      <c r="L427" s="26"/>
      <c r="M427" s="27"/>
      <c r="N427" s="27"/>
      <c r="O427" s="27"/>
      <c r="Q427" s="27"/>
      <c r="R427" s="27"/>
      <c r="S427" s="16"/>
      <c r="T427" s="27"/>
      <c r="U427" s="27"/>
    </row>
    <row r="428" spans="2:21">
      <c r="B428" s="22"/>
      <c r="C428" s="26"/>
      <c r="D428" s="29"/>
      <c r="E428" s="24"/>
      <c r="F428" s="17"/>
      <c r="G428" s="25"/>
      <c r="H428" s="25"/>
      <c r="I428" s="25"/>
      <c r="J428" s="26"/>
      <c r="K428" s="26"/>
      <c r="L428" s="26"/>
      <c r="M428" s="27"/>
      <c r="N428" s="27"/>
      <c r="O428" s="27"/>
      <c r="Q428" s="27"/>
      <c r="R428" s="27"/>
      <c r="S428" s="16"/>
      <c r="T428" s="27"/>
      <c r="U428" s="27"/>
    </row>
    <row r="429" spans="2:21">
      <c r="B429" s="22"/>
      <c r="C429" s="26"/>
      <c r="D429" s="29"/>
      <c r="E429" s="24"/>
      <c r="F429" s="17"/>
      <c r="G429" s="25"/>
      <c r="H429" s="25"/>
      <c r="I429" s="25"/>
      <c r="J429" s="26"/>
      <c r="K429" s="26"/>
      <c r="L429" s="26"/>
      <c r="M429" s="27"/>
      <c r="N429" s="27"/>
      <c r="O429" s="27"/>
      <c r="Q429" s="27"/>
      <c r="R429" s="27"/>
      <c r="S429" s="16"/>
      <c r="T429" s="27"/>
      <c r="U429" s="27"/>
    </row>
    <row r="430" spans="2:21">
      <c r="B430" s="22"/>
      <c r="C430" s="26"/>
      <c r="D430" s="29"/>
      <c r="E430" s="24"/>
      <c r="F430" s="17"/>
      <c r="G430" s="25"/>
      <c r="H430" s="25"/>
      <c r="I430" s="25"/>
      <c r="J430" s="26"/>
      <c r="K430" s="26"/>
      <c r="L430" s="26"/>
      <c r="M430" s="27"/>
      <c r="N430" s="27"/>
      <c r="O430" s="27"/>
      <c r="Q430" s="27"/>
      <c r="R430" s="27"/>
      <c r="S430" s="16"/>
      <c r="T430" s="27"/>
      <c r="U430" s="27"/>
    </row>
    <row r="431" spans="2:21">
      <c r="B431" s="22"/>
      <c r="C431" s="26"/>
      <c r="D431" s="29"/>
      <c r="E431" s="24"/>
      <c r="F431" s="17"/>
      <c r="G431" s="25"/>
      <c r="H431" s="25"/>
      <c r="I431" s="25"/>
      <c r="J431" s="26"/>
      <c r="K431" s="26"/>
      <c r="L431" s="26"/>
      <c r="M431" s="27"/>
      <c r="N431" s="27"/>
      <c r="O431" s="27"/>
      <c r="Q431" s="27"/>
      <c r="R431" s="27"/>
      <c r="S431" s="16"/>
      <c r="T431" s="27"/>
      <c r="U431" s="27"/>
    </row>
    <row r="432" spans="2:21">
      <c r="B432" s="22"/>
      <c r="C432" s="26"/>
      <c r="D432" s="29"/>
      <c r="E432" s="24"/>
      <c r="F432" s="17"/>
      <c r="G432" s="25"/>
      <c r="H432" s="25"/>
      <c r="I432" s="25"/>
      <c r="J432" s="26"/>
      <c r="K432" s="26"/>
      <c r="L432" s="26"/>
      <c r="M432" s="27"/>
      <c r="N432" s="27"/>
      <c r="O432" s="27"/>
      <c r="Q432" s="27"/>
      <c r="R432" s="27"/>
      <c r="S432" s="16"/>
      <c r="T432" s="27"/>
      <c r="U432" s="27"/>
    </row>
    <row r="433" spans="2:21">
      <c r="B433" s="22"/>
      <c r="C433" s="26"/>
      <c r="D433" s="29"/>
      <c r="E433" s="24"/>
      <c r="F433" s="17"/>
      <c r="G433" s="25"/>
      <c r="H433" s="25"/>
      <c r="I433" s="25"/>
      <c r="J433" s="26"/>
      <c r="K433" s="26"/>
      <c r="L433" s="26"/>
      <c r="M433" s="27"/>
      <c r="N433" s="27"/>
      <c r="O433" s="27"/>
      <c r="Q433" s="27"/>
      <c r="R433" s="27"/>
      <c r="S433" s="16"/>
      <c r="T433" s="27"/>
      <c r="U433" s="27"/>
    </row>
    <row r="434" spans="2:21">
      <c r="B434" s="22"/>
      <c r="C434" s="26"/>
      <c r="D434" s="29"/>
      <c r="E434" s="24"/>
      <c r="F434" s="17"/>
      <c r="G434" s="25"/>
      <c r="H434" s="25"/>
      <c r="I434" s="25"/>
      <c r="J434" s="26"/>
      <c r="K434" s="26"/>
      <c r="L434" s="26"/>
      <c r="M434" s="27"/>
      <c r="N434" s="27"/>
      <c r="O434" s="27"/>
      <c r="Q434" s="27"/>
      <c r="R434" s="27"/>
      <c r="S434" s="16"/>
      <c r="T434" s="27"/>
      <c r="U434" s="27"/>
    </row>
  </sheetData>
  <pageMargins left="0.7" right="0.7" top="0.75" bottom="0.75" header="0.3" footer="0.3"/>
  <pageSetup scale="41" orientation="portrait" r:id="rId1"/>
  <rowBreaks count="3" manualBreakCount="3">
    <brk id="107" max="20" man="1"/>
    <brk id="220" max="20" man="1"/>
    <brk id="333" max="20" man="1"/>
  </rowBreaks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5F59-9F75-4BB6-AD1A-A2C50FDC3103}">
  <dimension ref="A1:I13"/>
  <sheetViews>
    <sheetView workbookViewId="0">
      <selection activeCell="F20" sqref="F20"/>
    </sheetView>
  </sheetViews>
  <sheetFormatPr defaultRowHeight="14.5"/>
  <sheetData>
    <row r="1" spans="1:9" ht="56.5" thickBot="1">
      <c r="A1" s="61" t="s">
        <v>102</v>
      </c>
      <c r="B1" s="61" t="s">
        <v>103</v>
      </c>
      <c r="C1" s="61" t="s">
        <v>104</v>
      </c>
      <c r="D1" s="61" t="s">
        <v>105</v>
      </c>
      <c r="E1" s="61" t="s">
        <v>106</v>
      </c>
      <c r="F1" s="61" t="s">
        <v>107</v>
      </c>
      <c r="G1" s="61" t="s">
        <v>108</v>
      </c>
      <c r="H1" s="61" t="s">
        <v>109</v>
      </c>
    </row>
    <row r="2" spans="1:9" ht="15.5" thickTop="1" thickBot="1">
      <c r="A2" s="62" t="s">
        <v>110</v>
      </c>
      <c r="B2" s="63" t="s">
        <v>111</v>
      </c>
      <c r="C2" s="63">
        <v>0.376</v>
      </c>
      <c r="D2" s="63">
        <v>0.56100000000000005</v>
      </c>
      <c r="E2" s="63">
        <v>0.375</v>
      </c>
      <c r="F2" s="63">
        <v>9.5250000000000004</v>
      </c>
      <c r="G2" s="63">
        <v>0.11</v>
      </c>
      <c r="H2" s="63">
        <v>71</v>
      </c>
    </row>
    <row r="3" spans="1:9" ht="15.5" thickTop="1" thickBot="1">
      <c r="A3" s="62" t="s">
        <v>112</v>
      </c>
      <c r="B3" s="63" t="s">
        <v>113</v>
      </c>
      <c r="C3" s="63">
        <v>0.66800000000000004</v>
      </c>
      <c r="D3" s="63">
        <v>0.996</v>
      </c>
      <c r="E3" s="63">
        <v>0.5</v>
      </c>
      <c r="F3" s="63">
        <v>12.7</v>
      </c>
      <c r="G3" s="63">
        <v>0.2</v>
      </c>
      <c r="H3" s="63">
        <v>129</v>
      </c>
    </row>
    <row r="4" spans="1:9" ht="15.5" thickTop="1" thickBot="1">
      <c r="A4" s="62" t="s">
        <v>114</v>
      </c>
      <c r="B4" s="63" t="s">
        <v>115</v>
      </c>
      <c r="C4" s="63">
        <v>1.0429999999999999</v>
      </c>
      <c r="D4" s="63">
        <v>1.556</v>
      </c>
      <c r="E4" s="63">
        <v>0.625</v>
      </c>
      <c r="F4" s="63">
        <v>15.875</v>
      </c>
      <c r="G4" s="63">
        <v>0.31</v>
      </c>
      <c r="H4" s="63">
        <v>200</v>
      </c>
    </row>
    <row r="5" spans="1:9" ht="15.5" thickTop="1" thickBot="1">
      <c r="A5" s="62" t="s">
        <v>116</v>
      </c>
      <c r="B5" s="63" t="s">
        <v>117</v>
      </c>
      <c r="C5" s="63">
        <v>1.502</v>
      </c>
      <c r="D5" s="63">
        <v>2.2400000000000002</v>
      </c>
      <c r="E5" s="63">
        <v>0.75</v>
      </c>
      <c r="F5" s="63">
        <v>19.05</v>
      </c>
      <c r="G5" s="63">
        <v>0.44</v>
      </c>
      <c r="H5" s="63">
        <v>284</v>
      </c>
    </row>
    <row r="6" spans="1:9" ht="15.5" thickTop="1" thickBot="1">
      <c r="A6" s="62" t="s">
        <v>118</v>
      </c>
      <c r="B6" s="63" t="s">
        <v>119</v>
      </c>
      <c r="C6" s="63">
        <v>2.044</v>
      </c>
      <c r="D6" s="63">
        <v>3.0489999999999999</v>
      </c>
      <c r="E6" s="63">
        <v>0.875</v>
      </c>
      <c r="F6" s="63">
        <v>22.225000000000001</v>
      </c>
      <c r="G6" s="63">
        <v>0.6</v>
      </c>
      <c r="H6" s="63">
        <v>387</v>
      </c>
    </row>
    <row r="7" spans="1:9" ht="15.5" thickTop="1" thickBot="1">
      <c r="A7" s="62" t="s">
        <v>120</v>
      </c>
      <c r="B7" s="63" t="s">
        <v>121</v>
      </c>
      <c r="C7" s="63">
        <v>2.67</v>
      </c>
      <c r="D7" s="63">
        <v>3.9820000000000002</v>
      </c>
      <c r="E7" s="63">
        <v>1</v>
      </c>
      <c r="F7" s="63">
        <v>25.4</v>
      </c>
      <c r="G7" s="63">
        <v>0.79</v>
      </c>
      <c r="H7" s="63">
        <v>509</v>
      </c>
    </row>
    <row r="8" spans="1:9" ht="15.5" thickTop="1" thickBot="1">
      <c r="A8" s="62" t="s">
        <v>122</v>
      </c>
      <c r="B8" s="63" t="s">
        <v>123</v>
      </c>
      <c r="C8" s="63">
        <v>3.4</v>
      </c>
      <c r="D8" s="63">
        <v>5.0709999999999997</v>
      </c>
      <c r="E8" s="63">
        <v>1.1279999999999999</v>
      </c>
      <c r="F8" s="63">
        <v>28.65</v>
      </c>
      <c r="G8" s="63">
        <v>1</v>
      </c>
      <c r="H8" s="63">
        <v>645</v>
      </c>
    </row>
    <row r="9" spans="1:9" ht="15.5" thickTop="1" thickBot="1">
      <c r="A9" s="62" t="s">
        <v>111</v>
      </c>
      <c r="B9" s="63" t="s">
        <v>124</v>
      </c>
      <c r="C9" s="63">
        <v>4.3029999999999999</v>
      </c>
      <c r="D9" s="63">
        <v>6.4180000000000001</v>
      </c>
      <c r="E9" s="63">
        <v>1.27</v>
      </c>
      <c r="F9" s="63">
        <v>32.26</v>
      </c>
      <c r="G9" s="63">
        <v>1.27</v>
      </c>
      <c r="H9" s="63">
        <v>819</v>
      </c>
      <c r="I9">
        <f>G9/2</f>
        <v>0.63500000000000001</v>
      </c>
    </row>
    <row r="10" spans="1:9" ht="15.5" thickTop="1" thickBot="1">
      <c r="A10" s="62" t="s">
        <v>101</v>
      </c>
      <c r="B10" s="63" t="s">
        <v>125</v>
      </c>
      <c r="C10" s="63">
        <v>5.3129999999999997</v>
      </c>
      <c r="D10" s="63">
        <v>7.9240000000000004</v>
      </c>
      <c r="E10" s="63">
        <v>1.41</v>
      </c>
      <c r="F10" s="63">
        <v>35.81</v>
      </c>
      <c r="G10" s="63">
        <v>1.56</v>
      </c>
      <c r="H10" s="63">
        <v>1006</v>
      </c>
    </row>
    <row r="11" spans="1:9" ht="15.5" thickTop="1" thickBot="1">
      <c r="A11" s="62" t="s">
        <v>126</v>
      </c>
      <c r="B11" s="63" t="s">
        <v>127</v>
      </c>
      <c r="C11" s="63">
        <v>7.65</v>
      </c>
      <c r="D11" s="63">
        <v>11.41</v>
      </c>
      <c r="E11" s="63">
        <v>1.6930000000000001</v>
      </c>
      <c r="F11" s="63">
        <v>43</v>
      </c>
      <c r="G11" s="63">
        <v>2.25</v>
      </c>
      <c r="H11" s="63">
        <v>1452</v>
      </c>
    </row>
    <row r="12" spans="1:9" ht="15.5" thickTop="1" thickBot="1">
      <c r="A12" s="62" t="s">
        <v>128</v>
      </c>
      <c r="B12" s="63" t="s">
        <v>129</v>
      </c>
      <c r="C12" s="63">
        <v>13.6</v>
      </c>
      <c r="D12" s="63">
        <v>20.283999999999999</v>
      </c>
      <c r="E12" s="63">
        <v>2.2570000000000001</v>
      </c>
      <c r="F12" s="63">
        <v>57.33</v>
      </c>
      <c r="G12" s="63">
        <v>4</v>
      </c>
      <c r="H12" s="63">
        <v>2581</v>
      </c>
    </row>
    <row r="13" spans="1:9" ht="15" thickTop="1"/>
  </sheetData>
  <hyperlinks>
    <hyperlink ref="A2" r:id="rId1" display="https://www.harrissupplysolutions.com/3-rebar.html" xr:uid="{F63B352D-86D1-462C-B992-EFA1E84343A5}"/>
    <hyperlink ref="A3" r:id="rId2" display="https://www.harrissupplysolutions.com/4-rebar.html" xr:uid="{A9DFBE9D-B26E-4D07-A424-7D81B98206FD}"/>
    <hyperlink ref="A4" r:id="rId3" display="https://www.harrissupplysolutions.com/5-rebar.html" xr:uid="{F2549A6B-88FB-4E9A-A051-7A10C007B8B1}"/>
    <hyperlink ref="A5" r:id="rId4" display="https://www.harrissupplysolutions.com/6-rebar.html" xr:uid="{CA20C21F-B7B8-4628-8F52-6DDE7A1B9766}"/>
    <hyperlink ref="A6" r:id="rId5" display="https://www.harrissupplysolutions.com/7-rebar.html" xr:uid="{2198E5DD-F7AA-4CD0-B03D-03019170C09D}"/>
    <hyperlink ref="A7" r:id="rId6" display="https://www.harrissupplysolutions.com/8-rebar.html" xr:uid="{C50038F8-CA3B-4FE6-8AAD-D96F7859E510}"/>
    <hyperlink ref="A8" r:id="rId7" display="https://www.harrissupplysolutions.com/9-rebar.html" xr:uid="{BFCEFD47-C571-41EA-BD25-A9F9F7990610}"/>
    <hyperlink ref="A9" r:id="rId8" display="https://www.harrissupplysolutions.com/10-rebar-10-reinforcement-steel.html" xr:uid="{7564901F-4BCA-4083-A477-B42E082F324F}"/>
    <hyperlink ref="A10" r:id="rId9" display="https://www.harrissupplysolutions.com/11-rebar-11-reinforcement-steel.html" xr:uid="{2C601262-96F5-4BBB-8C94-637E5CBD3D47}"/>
    <hyperlink ref="A11" r:id="rId10" display="https://www.harrissupplysolutions.com/14-rebar-14-reinforcing-bar.html" xr:uid="{0AA02895-B2F1-48A8-B045-4B73C9A0B1F1}"/>
    <hyperlink ref="A12" r:id="rId11" display="https://www.harrissupplysolutions.com/18-rebar-18-reinforcing-bar.html" xr:uid="{1E29DCD7-4972-4D3C-81A0-26D4DB7098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ID (X) (30")</vt:lpstr>
      <vt:lpstr>ID (Y) (30")</vt:lpstr>
      <vt:lpstr>BE Calcs</vt:lpstr>
      <vt:lpstr>c over Lw1 (Mu neg)</vt:lpstr>
      <vt:lpstr>c over Lw1 (Mu pos)</vt:lpstr>
      <vt:lpstr>Calculations</vt:lpstr>
      <vt:lpstr>ID (MX) (30")</vt:lpstr>
      <vt:lpstr>Working</vt:lpstr>
      <vt:lpstr>'ID (MX) (30")'!Print_Area</vt:lpstr>
      <vt:lpstr>'ID (X) (30")'!Print_Area</vt:lpstr>
      <vt:lpstr>'ID (Y) (30")'!Print_Area</vt:lpstr>
      <vt:lpstr>Calculations!Print_Titles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jrestrepo</dc:creator>
  <cp:lastModifiedBy>Jrestrepo</cp:lastModifiedBy>
  <cp:lastPrinted>2020-10-17T04:59:14Z</cp:lastPrinted>
  <dcterms:created xsi:type="dcterms:W3CDTF">2016-03-06T01:01:03Z</dcterms:created>
  <dcterms:modified xsi:type="dcterms:W3CDTF">2021-03-13T19:03:58Z</dcterms:modified>
</cp:coreProperties>
</file>