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 Lin\Workspace\Academic\UCSD\SE 211\Homework\HW 5\"/>
    </mc:Choice>
  </mc:AlternateContent>
  <xr:revisionPtr revIDLastSave="0" documentId="13_ncr:1_{336D2A84-2EE6-463B-8A0D-6D60B0B109B1}" xr6:coauthVersionLast="46" xr6:coauthVersionMax="46" xr10:uidLastSave="{00000000-0000-0000-0000-000000000000}"/>
  <bookViews>
    <workbookView xWindow="690" yWindow="4290" windowWidth="15930" windowHeight="11775" xr2:uid="{00000000-000D-0000-FFFF-FFFF00000000}"/>
  </bookViews>
  <sheets>
    <sheet name="Wall Design" sheetId="2" r:id="rId1"/>
    <sheet name="Reba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2" l="1"/>
  <c r="F27" i="2"/>
  <c r="C14" i="2" l="1"/>
  <c r="C15" i="2" s="1"/>
  <c r="F73" i="2" l="1"/>
  <c r="C73" i="2"/>
  <c r="C46" i="2" l="1"/>
  <c r="F46" i="2" s="1"/>
  <c r="C68" i="2" l="1"/>
  <c r="C69" i="2"/>
  <c r="C70" i="2" l="1"/>
  <c r="F62" i="2"/>
  <c r="C62" i="2"/>
  <c r="F57" i="2"/>
  <c r="F41" i="2"/>
  <c r="C41" i="2"/>
  <c r="C18" i="2"/>
  <c r="F37" i="2"/>
  <c r="F38" i="2" s="1"/>
  <c r="F40" i="2" s="1"/>
  <c r="C37" i="2"/>
  <c r="C38" i="2" s="1"/>
  <c r="C40" i="2" s="1"/>
  <c r="D4" i="3"/>
  <c r="D5" i="3"/>
  <c r="E5" i="3" s="1"/>
  <c r="D6" i="3"/>
  <c r="E6" i="3" s="1"/>
  <c r="D7" i="3"/>
  <c r="D8" i="3"/>
  <c r="D9" i="3"/>
  <c r="D10" i="3"/>
  <c r="D11" i="3"/>
  <c r="D12" i="3"/>
  <c r="D3" i="3"/>
  <c r="C29" i="2" l="1"/>
  <c r="C30" i="2" s="1"/>
  <c r="F29" i="2"/>
  <c r="F30" i="2" s="1"/>
  <c r="C56" i="2"/>
  <c r="F56" i="2"/>
  <c r="F50" i="2"/>
  <c r="C50" i="2"/>
  <c r="C57" i="2"/>
  <c r="F69" i="2"/>
  <c r="F70" i="2" s="1"/>
  <c r="F68" i="2"/>
  <c r="F23" i="2"/>
  <c r="F31" i="2" s="1"/>
  <c r="F32" i="2" s="1"/>
  <c r="C16" i="2"/>
  <c r="C23" i="2"/>
  <c r="C31" i="2" s="1"/>
  <c r="C32" i="2" s="1"/>
  <c r="F43" i="2" l="1"/>
  <c r="F60" i="2" s="1"/>
  <c r="C43" i="2"/>
  <c r="C60" i="2" s="1"/>
  <c r="C52" i="2" l="1"/>
  <c r="F52" i="2"/>
  <c r="C44" i="2"/>
  <c r="C45" i="2" s="1"/>
  <c r="C58" i="2"/>
  <c r="F44" i="2"/>
  <c r="F45" i="2" s="1"/>
  <c r="F58" i="2"/>
  <c r="F61" i="2" s="1"/>
  <c r="F65" i="2" l="1"/>
  <c r="F64" i="2"/>
  <c r="C65" i="2"/>
  <c r="C6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tc={7E71E120-702D-41F3-A701-F2E7253D4A96}</author>
  </authors>
  <commentList>
    <comment ref="D6" authorId="0" shapeId="0" xr:uid="{7E71E120-702D-41F3-A701-F2E7253D4A96}">
      <text>
        <t>[Threaded comment]
Your version of Excel allows you to read this threaded comment; however, any edits to it will get removed if the file is opened in a newer version of Excel. Learn more: https://go.microsoft.com/fwlink/?linkid=870924
Comment:
    Input the total shear from the pier forces, the value of Ve is already divided into the 2 flanges</t>
      </text>
    </comment>
  </commentList>
</comments>
</file>

<file path=xl/sharedStrings.xml><?xml version="1.0" encoding="utf-8"?>
<sst xmlns="http://schemas.openxmlformats.org/spreadsheetml/2006/main" count="143" uniqueCount="93">
  <si>
    <t>ρl</t>
  </si>
  <si>
    <r>
      <t>f'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(ksi)</t>
    </r>
  </si>
  <si>
    <r>
      <t>f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(ksi)</t>
    </r>
  </si>
  <si>
    <t>Condition</t>
  </si>
  <si>
    <t>Required?</t>
  </si>
  <si>
    <t>Geometry</t>
  </si>
  <si>
    <t>Web</t>
  </si>
  <si>
    <t>Flanges</t>
  </si>
  <si>
    <r>
      <t>V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 (kips)</t>
    </r>
  </si>
  <si>
    <t>C-shape wall design (ACI 318-19)</t>
  </si>
  <si>
    <t>Flange</t>
  </si>
  <si>
    <r>
      <t>L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(in)</t>
    </r>
  </si>
  <si>
    <r>
      <t>t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(in)</t>
    </r>
  </si>
  <si>
    <r>
      <t>L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(in)</t>
    </r>
  </si>
  <si>
    <r>
      <t>t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(in)</t>
    </r>
  </si>
  <si>
    <t>Materials</t>
  </si>
  <si>
    <r>
      <t>h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(in)</t>
    </r>
  </si>
  <si>
    <r>
      <t>h</t>
    </r>
    <r>
      <rPr>
        <vertAlign val="subscript"/>
        <sz val="11"/>
        <color theme="1"/>
        <rFont val="Calibri"/>
        <family val="2"/>
        <scheme val="minor"/>
      </rPr>
      <t>wcs</t>
    </r>
    <r>
      <rPr>
        <sz val="11"/>
        <color theme="1"/>
        <rFont val="Calibri"/>
        <family val="2"/>
        <scheme val="minor"/>
      </rPr>
      <t xml:space="preserve"> (in)</t>
    </r>
  </si>
  <si>
    <r>
      <t>h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 (in)</t>
    </r>
  </si>
  <si>
    <r>
      <t>A</t>
    </r>
    <r>
      <rPr>
        <vertAlign val="subscript"/>
        <sz val="11"/>
        <color theme="1"/>
        <rFont val="Calibri"/>
        <family val="2"/>
        <scheme val="minor"/>
      </rPr>
      <t>cv</t>
    </r>
    <r>
      <rPr>
        <sz val="11"/>
        <color theme="1"/>
        <rFont val="Calibri"/>
        <family val="2"/>
        <scheme val="minor"/>
      </rPr>
      <t xml:space="preserve"> (in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</si>
  <si>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n</t>
  </si>
  <si>
    <t>Height of entire wall above the critical section</t>
  </si>
  <si>
    <t>Height of entire wall from base to top</t>
  </si>
  <si>
    <t>Lateral unsupported height of the wall</t>
  </si>
  <si>
    <t>Number of stories</t>
  </si>
  <si>
    <t>18.10.2.4</t>
  </si>
  <si>
    <r>
      <t>l</t>
    </r>
    <r>
      <rPr>
        <vertAlign val="subscript"/>
        <sz val="11"/>
        <color theme="1"/>
        <rFont val="Calibri"/>
        <family val="2"/>
        <scheme val="minor"/>
      </rPr>
      <t>be</t>
    </r>
    <r>
      <rPr>
        <sz val="11"/>
        <color theme="1"/>
        <rFont val="Calibri"/>
        <family val="2"/>
        <scheme val="minor"/>
      </rPr>
      <t xml:space="preserve"> (in)</t>
    </r>
  </si>
  <si>
    <t>18.10.3 Design forces</t>
  </si>
  <si>
    <t>Bar #</t>
  </si>
  <si>
    <t>Area</t>
  </si>
  <si>
    <r>
      <t>Area (in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</si>
  <si>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D (in)</t>
  </si>
  <si>
    <t>18.10.6 Boundary elements</t>
  </si>
  <si>
    <r>
      <t>δ</t>
    </r>
    <r>
      <rPr>
        <vertAlign val="subscript"/>
        <sz val="9.9"/>
        <color theme="1"/>
        <rFont val="Calibri"/>
        <family val="2"/>
      </rPr>
      <t>u</t>
    </r>
    <r>
      <rPr>
        <sz val="11"/>
        <color theme="1"/>
        <rFont val="Calibri"/>
        <family val="2"/>
      </rPr>
      <t xml:space="preserve"> (in)</t>
    </r>
  </si>
  <si>
    <r>
      <t>δ</t>
    </r>
    <r>
      <rPr>
        <vertAlign val="subscript"/>
        <sz val="9.9"/>
        <color theme="1"/>
        <rFont val="Calibri"/>
        <family val="2"/>
      </rPr>
      <t>u</t>
    </r>
    <r>
      <rPr>
        <sz val="11"/>
        <color theme="1"/>
        <rFont val="Calibri"/>
        <family val="2"/>
      </rPr>
      <t>/h</t>
    </r>
    <r>
      <rPr>
        <vertAlign val="subscript"/>
        <sz val="11"/>
        <color theme="1"/>
        <rFont val="Calibri"/>
        <family val="2"/>
      </rPr>
      <t>wcs</t>
    </r>
  </si>
  <si>
    <t>c</t>
  </si>
  <si>
    <t>Design displacement</t>
  </si>
  <si>
    <t>Threshold of distance from neutral axis to extreme compression fiber</t>
  </si>
  <si>
    <t>Design distance from neutral axis to extreme compression fiber in the opposite edge of the web (edge of C)</t>
  </si>
  <si>
    <t>b</t>
  </si>
  <si>
    <r>
      <t>c</t>
    </r>
    <r>
      <rPr>
        <vertAlign val="subscript"/>
        <sz val="11"/>
        <color theme="1"/>
        <rFont val="Calibri"/>
        <family val="2"/>
      </rPr>
      <t>l</t>
    </r>
  </si>
  <si>
    <r>
      <t>c</t>
    </r>
    <r>
      <rPr>
        <vertAlign val="subscript"/>
        <sz val="11"/>
        <color theme="1"/>
        <rFont val="Calibri"/>
        <family val="2"/>
      </rPr>
      <t>d</t>
    </r>
  </si>
  <si>
    <t>Proposed length of boundary element</t>
  </si>
  <si>
    <t>Flange (opposite of web)</t>
  </si>
  <si>
    <t>Thickness of boundary element</t>
  </si>
  <si>
    <r>
      <t>δ</t>
    </r>
    <r>
      <rPr>
        <vertAlign val="subscript"/>
        <sz val="9.9"/>
        <color theme="1"/>
        <rFont val="Calibri"/>
        <family val="2"/>
      </rPr>
      <t>c</t>
    </r>
    <r>
      <rPr>
        <sz val="11"/>
        <color theme="1"/>
        <rFont val="Calibri"/>
        <family val="2"/>
      </rPr>
      <t>/h</t>
    </r>
    <r>
      <rPr>
        <vertAlign val="subscript"/>
        <sz val="11"/>
        <color theme="1"/>
        <rFont val="Calibri"/>
        <family val="2"/>
      </rPr>
      <t>wcs</t>
    </r>
  </si>
  <si>
    <t>ρ</t>
  </si>
  <si>
    <t>Actual reinforcement ratio</t>
  </si>
  <si>
    <r>
      <t>Ω</t>
    </r>
    <r>
      <rPr>
        <vertAlign val="subscript"/>
        <sz val="11"/>
        <color theme="1"/>
        <rFont val="Calibri"/>
        <family val="2"/>
      </rPr>
      <t>v</t>
    </r>
  </si>
  <si>
    <r>
      <t>ω</t>
    </r>
    <r>
      <rPr>
        <vertAlign val="subscript"/>
        <sz val="11"/>
        <color theme="1"/>
        <rFont val="Calibri"/>
        <family val="2"/>
      </rPr>
      <t>v</t>
    </r>
  </si>
  <si>
    <r>
      <t>n</t>
    </r>
    <r>
      <rPr>
        <vertAlign val="subscript"/>
        <sz val="11"/>
        <color theme="1"/>
        <rFont val="Calibri"/>
        <family val="2"/>
        <scheme val="minor"/>
      </rPr>
      <t>s</t>
    </r>
  </si>
  <si>
    <r>
      <t>V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(kips)</t>
    </r>
  </si>
  <si>
    <r>
      <t>c</t>
    </r>
    <r>
      <rPr>
        <vertAlign val="subscript"/>
        <sz val="11"/>
        <color theme="1"/>
        <rFont val="Calibri"/>
        <family val="2"/>
      </rPr>
      <t>min</t>
    </r>
  </si>
  <si>
    <t>V limit</t>
  </si>
  <si>
    <t>Transverse reinforcement of boundary element</t>
  </si>
  <si>
    <r>
      <t>S</t>
    </r>
    <r>
      <rPr>
        <vertAlign val="subscript"/>
        <sz val="11"/>
        <color theme="1"/>
        <rFont val="Calibri"/>
        <family val="2"/>
      </rPr>
      <t>Max</t>
    </r>
  </si>
  <si>
    <t>Cover (in)</t>
  </si>
  <si>
    <t>bcx (in)</t>
  </si>
  <si>
    <t>bcy (in)</t>
  </si>
  <si>
    <r>
      <t>A</t>
    </r>
    <r>
      <rPr>
        <vertAlign val="subscript"/>
        <sz val="11"/>
        <color theme="1"/>
        <rFont val="Calibri"/>
        <family val="2"/>
      </rPr>
      <t>sh</t>
    </r>
    <r>
      <rPr>
        <sz val="11"/>
        <color theme="1"/>
        <rFont val="Calibri"/>
        <family val="2"/>
      </rPr>
      <t>/sb</t>
    </r>
    <r>
      <rPr>
        <vertAlign val="subscript"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</rPr>
      <t xml:space="preserve"> (a)</t>
    </r>
  </si>
  <si>
    <r>
      <t>A</t>
    </r>
    <r>
      <rPr>
        <vertAlign val="subscript"/>
        <sz val="11"/>
        <color theme="1"/>
        <rFont val="Calibri"/>
        <family val="2"/>
      </rPr>
      <t>sh</t>
    </r>
    <r>
      <rPr>
        <sz val="11"/>
        <color theme="1"/>
        <rFont val="Calibri"/>
        <family val="2"/>
      </rPr>
      <t>/sb</t>
    </r>
    <r>
      <rPr>
        <vertAlign val="subscript"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</rPr>
      <t xml:space="preserve"> (b)</t>
    </r>
  </si>
  <si>
    <t>S (in)</t>
  </si>
  <si>
    <t>Rebar x</t>
  </si>
  <si>
    <t>Rebar y</t>
  </si>
  <si>
    <t>hx (in)</t>
  </si>
  <si>
    <t>Minimum length of boundary element</t>
  </si>
  <si>
    <t>Meet condition of minimum dimensions</t>
  </si>
  <si>
    <t>Concrete cover</t>
  </si>
  <si>
    <t>Proposed rebar for transverse reinforcement in boundary element</t>
  </si>
  <si>
    <t>Required rebars along the length of the boundary element</t>
  </si>
  <si>
    <t>Required rebars along the thickness of the boundary element</t>
  </si>
  <si>
    <t>Gross area (Considering one flange)</t>
  </si>
  <si>
    <t>Total length</t>
  </si>
  <si>
    <t>Thickness</t>
  </si>
  <si>
    <t>Dynamic amplification factor</t>
  </si>
  <si>
    <t>Overstrength factor</t>
  </si>
  <si>
    <t>Design shear force</t>
  </si>
  <si>
    <t>Limit shear force</t>
  </si>
  <si>
    <t>Cross section dimension of member core</t>
  </si>
  <si>
    <t>Note: Fill out all of the cells that do not have blue background.</t>
  </si>
  <si>
    <t>Note: If "Check" is shown, make sure to add at least the specified longitudinal reinforcement ratio in the length indicated in the above two cells</t>
  </si>
  <si>
    <t>Longitudinal reinforcement of boundary element</t>
  </si>
  <si>
    <t>Rebars</t>
  </si>
  <si>
    <r>
      <t>M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 (k-ft)</t>
    </r>
  </si>
  <si>
    <t>Extension</t>
  </si>
  <si>
    <t>Boundary element extension above and below the critical section (in)</t>
  </si>
  <si>
    <t>Note: The web is assumed to take no out-of-plane shear, same for the flanges. The shear in the flanges is divided equally into the two of them.</t>
  </si>
  <si>
    <t>Transverse reinforcement when a special boundary element is not required</t>
  </si>
  <si>
    <t>Longitudinal bar used in denoted boundary</t>
  </si>
  <si>
    <t>Max spacing of the transverse reinforcement</t>
  </si>
  <si>
    <t>Distance between longitudinal bars supported against buckling</t>
  </si>
  <si>
    <t>Proposed hoop-set vertical spacing</t>
  </si>
  <si>
    <t>Maximum hoop-set vertical 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</si>
</sst>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9.9"/>
      <color theme="1"/>
      <name val="Calibri"/>
      <family val="2"/>
    </font>
    <font>
      <b/>
      <i/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9" fillId="0" borderId="0" xfId="0" applyFont="1"/>
    <xf numFmtId="0" fontId="0" fillId="0" borderId="1" xfId="0" applyBorder="1"/>
    <xf numFmtId="2" fontId="0" fillId="0" borderId="1" xfId="0" applyNumberFormat="1" applyBorder="1"/>
    <xf numFmtId="0" fontId="7" fillId="4" borderId="1" xfId="0" applyFont="1" applyFill="1" applyBorder="1"/>
    <xf numFmtId="0" fontId="0" fillId="4" borderId="1" xfId="0" applyFill="1" applyBorder="1"/>
    <xf numFmtId="2" fontId="0" fillId="4" borderId="1" xfId="0" applyNumberFormat="1" applyFill="1" applyBorder="1"/>
    <xf numFmtId="0" fontId="1" fillId="4" borderId="1" xfId="0" applyFont="1" applyFill="1" applyBorder="1"/>
    <xf numFmtId="0" fontId="6" fillId="0" borderId="0" xfId="0" applyFont="1" applyFill="1" applyBorder="1"/>
    <xf numFmtId="0" fontId="11" fillId="3" borderId="1" xfId="2" applyBorder="1"/>
    <xf numFmtId="0" fontId="1" fillId="0" borderId="0" xfId="0" applyFont="1" applyFill="1" applyBorder="1"/>
    <xf numFmtId="0" fontId="10" fillId="0" borderId="0" xfId="1" applyFill="1" applyBorder="1"/>
    <xf numFmtId="0" fontId="0" fillId="0" borderId="0" xfId="0" applyFill="1"/>
    <xf numFmtId="0" fontId="6" fillId="0" borderId="0" xfId="0" applyFont="1" applyFill="1"/>
    <xf numFmtId="164" fontId="0" fillId="0" borderId="1" xfId="0" applyNumberFormat="1" applyBorder="1"/>
    <xf numFmtId="2" fontId="0" fillId="0" borderId="0" xfId="0" applyNumberFormat="1" applyFill="1" applyBorder="1"/>
    <xf numFmtId="2" fontId="12" fillId="0" borderId="1" xfId="0" applyNumberFormat="1" applyFont="1" applyBorder="1"/>
    <xf numFmtId="0" fontId="12" fillId="0" borderId="1" xfId="0" applyFont="1" applyBorder="1"/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10" fillId="2" borderId="1" xfId="1" applyBorder="1" applyAlignment="1">
      <alignment horizontal="center"/>
    </xf>
    <xf numFmtId="0" fontId="12" fillId="0" borderId="1" xfId="0" applyFon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0" borderId="0" xfId="0" applyFont="1"/>
    <xf numFmtId="165" fontId="0" fillId="4" borderId="1" xfId="0" applyNumberForma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11" fillId="3" borderId="1" xfId="2" applyBorder="1" applyAlignment="1">
      <alignment horizontal="center"/>
    </xf>
    <xf numFmtId="0" fontId="12" fillId="0" borderId="0" xfId="0" applyFont="1" applyFill="1"/>
    <xf numFmtId="2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20">
    <dxf>
      <font>
        <b/>
        <i val="0"/>
      </font>
      <fill>
        <patternFill>
          <bgColor rgb="FFFF9B9B"/>
        </patternFill>
      </fill>
    </dxf>
    <dxf>
      <font>
        <b/>
        <i val="0"/>
      </font>
      <fill>
        <patternFill>
          <bgColor rgb="FFFF9B9B"/>
        </patternFill>
      </fill>
    </dxf>
    <dxf>
      <font>
        <b/>
        <i val="0"/>
      </font>
      <fill>
        <patternFill>
          <bgColor rgb="FFFF9B9B"/>
        </patternFill>
      </fill>
    </dxf>
    <dxf>
      <font>
        <b/>
        <i val="0"/>
      </font>
      <fill>
        <patternFill>
          <bgColor rgb="FFFF9B9B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rgb="FFFF9393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rgb="FFFF9393"/>
        </patternFill>
      </fill>
    </dxf>
    <dxf>
      <font>
        <b/>
        <i val="0"/>
      </font>
      <fill>
        <patternFill>
          <bgColor rgb="FFFF9B9B"/>
        </patternFill>
      </fill>
    </dxf>
    <dxf>
      <font>
        <b/>
        <i val="0"/>
      </font>
      <fill>
        <patternFill>
          <bgColor rgb="FFFF9B9B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rgb="FFFF9393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rgb="FFFF9393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rgb="FFFF9393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rgb="FFFF9393"/>
        </patternFill>
      </fill>
    </dxf>
  </dxfs>
  <tableStyles count="0" defaultTableStyle="TableStyleMedium2" defaultPivotStyle="PivotStyleLight16"/>
  <colors>
    <mruColors>
      <color rgb="FFFFAFAF"/>
      <color rgb="FFFF9B9B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ergio Godinez" id="{BDE43CA0-6116-4E8E-9784-345AFF66DDDE}" userId="6bae5db291a0a79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6" dT="2020-09-16T19:41:44.84" personId="{BDE43CA0-6116-4E8E-9784-345AFF66DDDE}" id="{7E71E120-702D-41F3-A701-F2E7253D4A96}">
    <text>Input the total shear from the pier forces, the value of Ve is already divided into the 2 flanges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DCC34-54B9-4266-9395-A4AC106C16E4}">
  <dimension ref="B1:P74"/>
  <sheetViews>
    <sheetView tabSelected="1" view="pageBreakPreview" zoomScale="90" zoomScaleNormal="90" zoomScaleSheetLayoutView="90" workbookViewId="0">
      <selection activeCell="C15" sqref="C15"/>
    </sheetView>
  </sheetViews>
  <sheetFormatPr defaultRowHeight="15" x14ac:dyDescent="0.25"/>
  <cols>
    <col min="1" max="1" width="2.85546875" customWidth="1"/>
  </cols>
  <sheetData>
    <row r="1" spans="2:8" x14ac:dyDescent="0.25">
      <c r="B1" s="3" t="s">
        <v>9</v>
      </c>
    </row>
    <row r="2" spans="2:8" x14ac:dyDescent="0.25">
      <c r="B2" t="s">
        <v>86</v>
      </c>
    </row>
    <row r="3" spans="2:8" x14ac:dyDescent="0.25">
      <c r="B3" t="s">
        <v>79</v>
      </c>
    </row>
    <row r="5" spans="2:8" x14ac:dyDescent="0.25">
      <c r="C5" s="11" t="s">
        <v>6</v>
      </c>
      <c r="D5" s="11" t="s">
        <v>7</v>
      </c>
    </row>
    <row r="6" spans="2:8" ht="18" x14ac:dyDescent="0.35">
      <c r="B6" s="12" t="s">
        <v>8</v>
      </c>
      <c r="C6" s="31">
        <v>1450</v>
      </c>
      <c r="D6" s="31">
        <v>1503</v>
      </c>
    </row>
    <row r="7" spans="2:8" ht="18" x14ac:dyDescent="0.35">
      <c r="B7" s="12" t="s">
        <v>83</v>
      </c>
      <c r="C7" s="32">
        <v>147640</v>
      </c>
      <c r="D7" s="32">
        <v>39175</v>
      </c>
    </row>
    <row r="9" spans="2:8" x14ac:dyDescent="0.25">
      <c r="B9" s="4" t="s">
        <v>15</v>
      </c>
    </row>
    <row r="10" spans="2:8" ht="18" x14ac:dyDescent="0.35">
      <c r="B10" s="12" t="s">
        <v>1</v>
      </c>
      <c r="C10" s="10">
        <v>7</v>
      </c>
    </row>
    <row r="11" spans="2:8" ht="18" x14ac:dyDescent="0.35">
      <c r="B11" s="12" t="s">
        <v>2</v>
      </c>
      <c r="C11" s="10">
        <v>80</v>
      </c>
    </row>
    <row r="13" spans="2:8" x14ac:dyDescent="0.25">
      <c r="B13" s="4" t="s">
        <v>5</v>
      </c>
    </row>
    <row r="14" spans="2:8" ht="18" x14ac:dyDescent="0.35">
      <c r="B14" s="12" t="s">
        <v>16</v>
      </c>
      <c r="C14" s="23">
        <f>172*12</f>
        <v>2064</v>
      </c>
      <c r="D14" s="2" t="s">
        <v>22</v>
      </c>
      <c r="H14" s="40"/>
    </row>
    <row r="15" spans="2:8" ht="18" x14ac:dyDescent="0.35">
      <c r="B15" s="12" t="s">
        <v>17</v>
      </c>
      <c r="C15" s="23">
        <f>C14</f>
        <v>2064</v>
      </c>
      <c r="D15" s="2" t="s">
        <v>21</v>
      </c>
    </row>
    <row r="16" spans="2:8" ht="18" x14ac:dyDescent="0.35">
      <c r="B16" s="12" t="s">
        <v>18</v>
      </c>
      <c r="C16" s="10">
        <f>16*12-8</f>
        <v>184</v>
      </c>
      <c r="D16" s="2" t="s">
        <v>23</v>
      </c>
    </row>
    <row r="17" spans="2:13" x14ac:dyDescent="0.25">
      <c r="B17" s="12" t="s">
        <v>20</v>
      </c>
      <c r="C17" s="24">
        <v>14</v>
      </c>
      <c r="D17" s="2" t="s">
        <v>24</v>
      </c>
    </row>
    <row r="18" spans="2:13" ht="18" x14ac:dyDescent="0.35">
      <c r="B18" s="12" t="s">
        <v>50</v>
      </c>
      <c r="C18" s="12">
        <f>MAX(C17,0.007*C15)</f>
        <v>14.448</v>
      </c>
    </row>
    <row r="19" spans="2:13" x14ac:dyDescent="0.25">
      <c r="K19" s="19"/>
    </row>
    <row r="20" spans="2:13" x14ac:dyDescent="0.25">
      <c r="B20" s="3" t="s">
        <v>6</v>
      </c>
      <c r="E20" s="3" t="s">
        <v>10</v>
      </c>
      <c r="K20" s="19"/>
    </row>
    <row r="21" spans="2:13" ht="18" x14ac:dyDescent="0.35">
      <c r="B21" s="12" t="s">
        <v>11</v>
      </c>
      <c r="C21" s="23">
        <v>318</v>
      </c>
      <c r="E21" s="12" t="s">
        <v>13</v>
      </c>
      <c r="F21" s="23">
        <v>141</v>
      </c>
      <c r="G21" s="2" t="s">
        <v>72</v>
      </c>
      <c r="K21" s="19"/>
    </row>
    <row r="22" spans="2:13" ht="18" x14ac:dyDescent="0.35">
      <c r="B22" s="12" t="s">
        <v>12</v>
      </c>
      <c r="C22" s="23">
        <v>30</v>
      </c>
      <c r="E22" s="12" t="s">
        <v>14</v>
      </c>
      <c r="F22" s="23">
        <v>30</v>
      </c>
      <c r="G22" s="2" t="s">
        <v>73</v>
      </c>
      <c r="K22" s="19"/>
    </row>
    <row r="23" spans="2:13" ht="18.75" x14ac:dyDescent="0.35">
      <c r="B23" s="12" t="s">
        <v>19</v>
      </c>
      <c r="C23" s="13">
        <f>C22*C21</f>
        <v>9540</v>
      </c>
      <c r="E23" s="12" t="s">
        <v>19</v>
      </c>
      <c r="F23" s="13">
        <f>F22*F21</f>
        <v>4230</v>
      </c>
      <c r="G23" s="2" t="s">
        <v>71</v>
      </c>
      <c r="K23" s="19"/>
    </row>
    <row r="24" spans="2:13" x14ac:dyDescent="0.25">
      <c r="K24" s="19"/>
    </row>
    <row r="25" spans="2:13" x14ac:dyDescent="0.25">
      <c r="B25" s="3"/>
      <c r="K25" s="19"/>
    </row>
    <row r="26" spans="2:13" x14ac:dyDescent="0.25">
      <c r="B26" s="3" t="s">
        <v>27</v>
      </c>
      <c r="E26" s="1"/>
      <c r="G26" s="2"/>
      <c r="K26" s="19"/>
    </row>
    <row r="27" spans="2:13" x14ac:dyDescent="0.25">
      <c r="B27" s="25" t="s">
        <v>46</v>
      </c>
      <c r="C27" s="29">
        <v>1.21E-2</v>
      </c>
      <c r="D27" s="26"/>
      <c r="E27" s="25" t="s">
        <v>46</v>
      </c>
      <c r="F27" s="29">
        <f>C27</f>
        <v>1.21E-2</v>
      </c>
      <c r="G27" s="2" t="s">
        <v>47</v>
      </c>
      <c r="K27" s="39"/>
      <c r="L27" s="34"/>
      <c r="M27" s="34"/>
    </row>
    <row r="28" spans="2:13" ht="18" x14ac:dyDescent="0.35">
      <c r="B28" s="25" t="s">
        <v>48</v>
      </c>
      <c r="C28" s="31">
        <v>3</v>
      </c>
      <c r="D28" s="26"/>
      <c r="E28" s="25" t="s">
        <v>48</v>
      </c>
      <c r="F28" s="31">
        <v>3</v>
      </c>
      <c r="G28" s="15" t="s">
        <v>75</v>
      </c>
      <c r="K28" s="39"/>
      <c r="L28" s="34"/>
      <c r="M28" s="34"/>
    </row>
    <row r="29" spans="2:13" ht="18" x14ac:dyDescent="0.35">
      <c r="B29" s="25" t="s">
        <v>49</v>
      </c>
      <c r="C29" s="33">
        <f>IF(C18&gt;6,MIN(1.3+C18/30,1.8),0.9+C18/10)</f>
        <v>1.7816000000000001</v>
      </c>
      <c r="D29" s="26"/>
      <c r="E29" s="25" t="s">
        <v>49</v>
      </c>
      <c r="F29" s="33">
        <f>IF(C18&gt;6,MIN(1.3+C18/30,1.8),0.9+C18/10)</f>
        <v>1.7816000000000001</v>
      </c>
      <c r="G29" s="15" t="s">
        <v>74</v>
      </c>
      <c r="K29" s="39"/>
      <c r="L29" s="34"/>
      <c r="M29" s="34"/>
    </row>
    <row r="30" spans="2:13" ht="18" x14ac:dyDescent="0.35">
      <c r="B30" s="27" t="s">
        <v>51</v>
      </c>
      <c r="C30" s="27">
        <f>MIN(3,C29*C28)*C6</f>
        <v>4350</v>
      </c>
      <c r="D30" s="26"/>
      <c r="E30" s="27" t="s">
        <v>51</v>
      </c>
      <c r="F30" s="27">
        <f>MIN(3,F29*F28)*D6/2</f>
        <v>2254.5</v>
      </c>
      <c r="G30" s="15" t="s">
        <v>76</v>
      </c>
      <c r="K30" s="19"/>
    </row>
    <row r="31" spans="2:13" x14ac:dyDescent="0.25">
      <c r="B31" s="27" t="s">
        <v>53</v>
      </c>
      <c r="C31" s="37">
        <f>10*SQRT(C10*1000)*C23/1000</f>
        <v>7981.7366531350808</v>
      </c>
      <c r="D31" s="26"/>
      <c r="E31" s="27" t="s">
        <v>53</v>
      </c>
      <c r="F31" s="37">
        <f>10*SQRT(C10*1000)*F23/1000</f>
        <v>3539.0719122391392</v>
      </c>
      <c r="G31" s="15" t="s">
        <v>77</v>
      </c>
      <c r="K31" s="19"/>
    </row>
    <row r="32" spans="2:13" x14ac:dyDescent="0.25">
      <c r="B32" s="27" t="s">
        <v>3</v>
      </c>
      <c r="C32" s="28" t="str">
        <f>IF(C31&gt;C30,"OK","Not OK")</f>
        <v>OK</v>
      </c>
      <c r="D32" s="26"/>
      <c r="E32" s="27" t="s">
        <v>3</v>
      </c>
      <c r="F32" s="28" t="str">
        <f>IF(F31&gt;F30,"OK","Not OK")</f>
        <v>OK</v>
      </c>
      <c r="K32" s="19"/>
    </row>
    <row r="33" spans="2:16" x14ac:dyDescent="0.25">
      <c r="K33" s="19"/>
    </row>
    <row r="34" spans="2:16" x14ac:dyDescent="0.25">
      <c r="B34" s="3" t="s">
        <v>32</v>
      </c>
    </row>
    <row r="35" spans="2:16" x14ac:dyDescent="0.25">
      <c r="B35" s="3" t="s">
        <v>6</v>
      </c>
      <c r="E35" s="3" t="s">
        <v>43</v>
      </c>
    </row>
    <row r="36" spans="2:16" x14ac:dyDescent="0.25">
      <c r="B36" s="14" t="s">
        <v>33</v>
      </c>
      <c r="C36" s="6">
        <v>13.09</v>
      </c>
      <c r="E36" s="14" t="s">
        <v>33</v>
      </c>
      <c r="F36" s="6">
        <v>13.49</v>
      </c>
      <c r="G36" s="2"/>
      <c r="H36" s="2" t="s">
        <v>36</v>
      </c>
    </row>
    <row r="37" spans="2:16" ht="18" x14ac:dyDescent="0.35">
      <c r="B37" s="14" t="s">
        <v>34</v>
      </c>
      <c r="C37" s="35">
        <f>MAX(C36/C15,0.005)</f>
        <v>6.3420542635658911E-3</v>
      </c>
      <c r="E37" s="14" t="s">
        <v>34</v>
      </c>
      <c r="F37" s="27">
        <f>MAX(F36/C15,0.005)</f>
        <v>6.535852713178295E-3</v>
      </c>
    </row>
    <row r="38" spans="2:16" ht="18" x14ac:dyDescent="0.35">
      <c r="B38" s="14" t="s">
        <v>40</v>
      </c>
      <c r="C38" s="30">
        <f>C21/(600*1.5*C37)</f>
        <v>55.71275783040489</v>
      </c>
      <c r="E38" s="14" t="s">
        <v>40</v>
      </c>
      <c r="F38" s="30">
        <f>F21/(600*1.5*F37)</f>
        <v>23.970348406226833</v>
      </c>
      <c r="H38" s="2" t="s">
        <v>37</v>
      </c>
    </row>
    <row r="39" spans="2:16" ht="18" x14ac:dyDescent="0.35">
      <c r="B39" s="14" t="s">
        <v>41</v>
      </c>
      <c r="C39" s="6">
        <v>31</v>
      </c>
      <c r="E39" s="14" t="s">
        <v>41</v>
      </c>
      <c r="F39" s="6">
        <v>38.5</v>
      </c>
      <c r="H39" s="2" t="s">
        <v>38</v>
      </c>
    </row>
    <row r="40" spans="2:16" x14ac:dyDescent="0.25">
      <c r="B40" s="14" t="s">
        <v>4</v>
      </c>
      <c r="C40" s="36" t="str">
        <f>IF(C39&gt;C38,"Yes","No")</f>
        <v>No</v>
      </c>
      <c r="E40" s="14" t="s">
        <v>4</v>
      </c>
      <c r="F40" s="36" t="str">
        <f>IF(F39&gt;F38,"Yes","No")</f>
        <v>Yes</v>
      </c>
      <c r="H40" s="2"/>
      <c r="O40" s="19"/>
      <c r="P40" s="19"/>
    </row>
    <row r="41" spans="2:16" ht="18" x14ac:dyDescent="0.35">
      <c r="B41" s="14" t="s">
        <v>52</v>
      </c>
      <c r="C41" s="30">
        <f>MAX(C39-0.1*C21,C39/2)</f>
        <v>15.5</v>
      </c>
      <c r="E41" s="14" t="s">
        <v>52</v>
      </c>
      <c r="F41" s="30">
        <f>MAX(F39-0.1*F21,F39/2)</f>
        <v>24.4</v>
      </c>
      <c r="H41" s="2" t="s">
        <v>65</v>
      </c>
      <c r="O41" s="19"/>
      <c r="P41" s="19"/>
    </row>
    <row r="42" spans="2:16" x14ac:dyDescent="0.25">
      <c r="B42" s="14" t="s">
        <v>35</v>
      </c>
      <c r="C42" s="6">
        <v>48</v>
      </c>
      <c r="E42" s="14" t="s">
        <v>35</v>
      </c>
      <c r="F42" s="6">
        <v>30</v>
      </c>
      <c r="H42" s="2" t="s">
        <v>42</v>
      </c>
      <c r="O42" s="19"/>
      <c r="P42" s="19"/>
    </row>
    <row r="43" spans="2:16" x14ac:dyDescent="0.25">
      <c r="B43" s="14" t="s">
        <v>39</v>
      </c>
      <c r="C43" s="30">
        <f>IF(MAX(SQRT(C42*C21*0.0025),12,C16/16)&lt;C22,C22,"Change t")</f>
        <v>30</v>
      </c>
      <c r="E43" s="14" t="s">
        <v>39</v>
      </c>
      <c r="F43" s="30">
        <f>IF(MAX(SQRT(F42*F21*0.0025),12,C16/16)&lt;F22,F22,"Change t")</f>
        <v>30</v>
      </c>
      <c r="G43" s="2"/>
      <c r="H43" s="2" t="s">
        <v>44</v>
      </c>
      <c r="O43" s="19"/>
      <c r="P43" s="19"/>
    </row>
    <row r="44" spans="2:16" ht="18" x14ac:dyDescent="0.35">
      <c r="B44" s="14" t="s">
        <v>45</v>
      </c>
      <c r="C44" s="35">
        <f>MAX((4-C42*C21/(50*C43^2)-C30/(8*SQRT(C10*1000)*C23))/100,0.015)</f>
        <v>3.6601187572784848E-2</v>
      </c>
      <c r="E44" s="14" t="s">
        <v>45</v>
      </c>
      <c r="F44" s="35">
        <f>MAX((4-F42*F21/(50*F43^2)-F30/(8*SQRT(C10*1000)*F23))/100,0.015)</f>
        <v>3.905203710727026E-2</v>
      </c>
      <c r="O44" s="19"/>
      <c r="P44" s="19"/>
    </row>
    <row r="45" spans="2:16" x14ac:dyDescent="0.25">
      <c r="B45" s="14" t="s">
        <v>3</v>
      </c>
      <c r="C45" s="28" t="str">
        <f>IF(C44&gt;1.5*C37,"OK","Not OK")</f>
        <v>OK</v>
      </c>
      <c r="E45" s="14" t="s">
        <v>3</v>
      </c>
      <c r="F45" s="28" t="str">
        <f>IF(F44&gt;1.5*F37,"OK","Not OK")</f>
        <v>OK</v>
      </c>
      <c r="G45" s="2"/>
      <c r="H45" s="2" t="s">
        <v>66</v>
      </c>
      <c r="O45" s="19"/>
      <c r="P45" s="19"/>
    </row>
    <row r="46" spans="2:16" x14ac:dyDescent="0.25">
      <c r="B46" s="13" t="s">
        <v>84</v>
      </c>
      <c r="C46" s="30">
        <f>MAX(C7/(4*C6)*12,D7/(4*D6)*12,C21)</f>
        <v>318</v>
      </c>
      <c r="E46" s="13" t="s">
        <v>84</v>
      </c>
      <c r="F46" s="30">
        <f>C46</f>
        <v>318</v>
      </c>
      <c r="H46" s="2" t="s">
        <v>85</v>
      </c>
      <c r="O46" s="19"/>
      <c r="P46" s="19"/>
    </row>
    <row r="47" spans="2:16" x14ac:dyDescent="0.25">
      <c r="H47" s="2"/>
      <c r="O47" s="19"/>
      <c r="P47" s="19"/>
    </row>
    <row r="48" spans="2:16" x14ac:dyDescent="0.25">
      <c r="B48" s="8" t="s">
        <v>81</v>
      </c>
      <c r="C48" s="18"/>
      <c r="D48" s="19"/>
      <c r="E48" s="17"/>
      <c r="F48" s="18"/>
      <c r="G48" s="20"/>
      <c r="H48" s="20"/>
      <c r="O48" s="19"/>
      <c r="P48" s="19"/>
    </row>
    <row r="49" spans="2:16" x14ac:dyDescent="0.25">
      <c r="B49" s="14" t="s">
        <v>28</v>
      </c>
      <c r="C49" s="9">
        <v>8</v>
      </c>
      <c r="D49" s="19"/>
      <c r="E49" s="14" t="s">
        <v>28</v>
      </c>
      <c r="F49" s="9">
        <v>8</v>
      </c>
      <c r="G49" s="20"/>
      <c r="H49" s="20"/>
      <c r="O49" s="19"/>
      <c r="P49" s="19"/>
    </row>
    <row r="50" spans="2:16" x14ac:dyDescent="0.25">
      <c r="B50" s="14" t="s">
        <v>29</v>
      </c>
      <c r="C50" s="13">
        <f>VLOOKUP(C49,Rebar!$B$2:$D$12,3,FALSE)</f>
        <v>0.78539816339744828</v>
      </c>
      <c r="D50" s="19"/>
      <c r="E50" s="14" t="s">
        <v>29</v>
      </c>
      <c r="F50" s="13">
        <f>VLOOKUP(F49,Rebar!$B$2:$D$12,3,FALSE)</f>
        <v>0.78539816339744828</v>
      </c>
      <c r="G50" s="20"/>
      <c r="H50" s="20"/>
      <c r="O50" s="19"/>
      <c r="P50" s="19"/>
    </row>
    <row r="51" spans="2:16" x14ac:dyDescent="0.25">
      <c r="B51" s="14" t="s">
        <v>82</v>
      </c>
      <c r="C51" s="24">
        <v>18</v>
      </c>
      <c r="D51" s="19"/>
      <c r="E51" s="14" t="s">
        <v>82</v>
      </c>
      <c r="F51" s="24">
        <v>12</v>
      </c>
      <c r="G51" s="20"/>
      <c r="H51" s="20"/>
    </row>
    <row r="52" spans="2:16" x14ac:dyDescent="0.25">
      <c r="B52" s="14" t="s">
        <v>46</v>
      </c>
      <c r="C52" s="21">
        <f>C51*C50/(C42*C43)</f>
        <v>9.8174770424681035E-3</v>
      </c>
      <c r="D52" s="19"/>
      <c r="E52" s="14" t="s">
        <v>46</v>
      </c>
      <c r="F52" s="21">
        <f>F51*F50/(F42*F43)</f>
        <v>1.0471975511965976E-2</v>
      </c>
      <c r="G52" s="20"/>
      <c r="H52" s="20"/>
    </row>
    <row r="53" spans="2:16" x14ac:dyDescent="0.25">
      <c r="B53" s="8" t="s">
        <v>54</v>
      </c>
    </row>
    <row r="54" spans="2:16" x14ac:dyDescent="0.25">
      <c r="B54" s="14" t="s">
        <v>56</v>
      </c>
      <c r="C54" s="10">
        <v>1</v>
      </c>
      <c r="E54" s="14" t="s">
        <v>56</v>
      </c>
      <c r="F54" s="10">
        <v>1</v>
      </c>
      <c r="H54" s="2" t="s">
        <v>67</v>
      </c>
    </row>
    <row r="55" spans="2:16" x14ac:dyDescent="0.25">
      <c r="B55" s="14" t="s">
        <v>28</v>
      </c>
      <c r="C55" s="9">
        <v>5</v>
      </c>
      <c r="E55" s="14" t="s">
        <v>28</v>
      </c>
      <c r="F55" s="9">
        <v>5</v>
      </c>
      <c r="H55" s="2" t="s">
        <v>68</v>
      </c>
    </row>
    <row r="56" spans="2:16" x14ac:dyDescent="0.25">
      <c r="B56" s="14" t="s">
        <v>29</v>
      </c>
      <c r="C56" s="13">
        <f>VLOOKUP(C55,Rebar!$B$2:$D$12,3,FALSE)</f>
        <v>0.30679615757712825</v>
      </c>
      <c r="E56" s="14" t="s">
        <v>29</v>
      </c>
      <c r="F56" s="13">
        <f>VLOOKUP(F55,Rebar!$B$2:$D$12,3,FALSE)</f>
        <v>0.30679615757712825</v>
      </c>
      <c r="H56" s="2"/>
    </row>
    <row r="57" spans="2:16" x14ac:dyDescent="0.25">
      <c r="B57" s="14" t="s">
        <v>57</v>
      </c>
      <c r="C57" s="13">
        <f>C42-C54-C55/8</f>
        <v>46.375</v>
      </c>
      <c r="E57" s="14" t="s">
        <v>57</v>
      </c>
      <c r="F57" s="13">
        <f>F42-F54-F55/8</f>
        <v>28.375</v>
      </c>
      <c r="H57" s="2" t="s">
        <v>78</v>
      </c>
    </row>
    <row r="58" spans="2:16" x14ac:dyDescent="0.25">
      <c r="B58" s="14" t="s">
        <v>58</v>
      </c>
      <c r="C58" s="13">
        <f>C43-C54-C55/8</f>
        <v>28.375</v>
      </c>
      <c r="E58" s="14" t="s">
        <v>58</v>
      </c>
      <c r="F58" s="13">
        <f>F43-F54-2*F55/8</f>
        <v>27.75</v>
      </c>
      <c r="H58" s="2" t="s">
        <v>78</v>
      </c>
    </row>
    <row r="59" spans="2:16" x14ac:dyDescent="0.25">
      <c r="B59" s="14" t="s">
        <v>64</v>
      </c>
      <c r="C59" s="10">
        <v>8</v>
      </c>
      <c r="E59" s="14" t="s">
        <v>64</v>
      </c>
      <c r="F59" s="10">
        <v>6.5</v>
      </c>
      <c r="H59" s="2" t="s">
        <v>90</v>
      </c>
    </row>
    <row r="60" spans="2:16" ht="18" x14ac:dyDescent="0.35">
      <c r="B60" s="14" t="s">
        <v>55</v>
      </c>
      <c r="C60" s="13">
        <f>MIN(MIN(C42,C43)/3,5*C49/8,MIN(MAX(4+(14-C59)/3,4),6))</f>
        <v>5</v>
      </c>
      <c r="E60" s="14" t="s">
        <v>55</v>
      </c>
      <c r="F60" s="13">
        <f>MIN(MIN(F42,F43)/3,5*F49/8,MIN(MAX(4+(14-F59)/3,4),6))</f>
        <v>5</v>
      </c>
      <c r="H60" s="2" t="s">
        <v>92</v>
      </c>
    </row>
    <row r="61" spans="2:16" ht="18" x14ac:dyDescent="0.35">
      <c r="B61" s="14" t="s">
        <v>59</v>
      </c>
      <c r="C61" s="12">
        <f>0.3*(C42*C43/(C57*C58)-1)*$C$10/$C$11</f>
        <v>2.475791704762698E-3</v>
      </c>
      <c r="E61" s="14" t="s">
        <v>59</v>
      </c>
      <c r="F61" s="12">
        <f>0.3*(F42*F43/(F57*F58)-1)*$C$10/$C$11</f>
        <v>3.7535718537921167E-3</v>
      </c>
      <c r="H61" s="2"/>
    </row>
    <row r="62" spans="2:16" ht="18" x14ac:dyDescent="0.35">
      <c r="B62" s="14" t="s">
        <v>60</v>
      </c>
      <c r="C62" s="12">
        <f>0.09*$C$10/$C$11</f>
        <v>7.8750000000000001E-3</v>
      </c>
      <c r="E62" s="14" t="s">
        <v>60</v>
      </c>
      <c r="F62" s="12">
        <f>0.09*$C$10/$C$11</f>
        <v>7.8750000000000001E-3</v>
      </c>
      <c r="H62" s="2"/>
    </row>
    <row r="63" spans="2:16" x14ac:dyDescent="0.25">
      <c r="B63" s="14" t="s">
        <v>61</v>
      </c>
      <c r="C63" s="10">
        <v>5</v>
      </c>
      <c r="E63" s="14" t="s">
        <v>61</v>
      </c>
      <c r="F63" s="10">
        <v>5</v>
      </c>
      <c r="H63" s="2" t="s">
        <v>91</v>
      </c>
    </row>
    <row r="64" spans="2:16" x14ac:dyDescent="0.25">
      <c r="B64" s="14" t="s">
        <v>62</v>
      </c>
      <c r="C64" s="13">
        <f>MAX(C62,C61)*C63*C57/C56</f>
        <v>5.9518855758189915</v>
      </c>
      <c r="E64" s="14" t="s">
        <v>62</v>
      </c>
      <c r="F64" s="13">
        <f>MAX(F62,F61)*F63*F57/F56</f>
        <v>3.6417197458515123</v>
      </c>
      <c r="H64" s="2" t="s">
        <v>69</v>
      </c>
    </row>
    <row r="65" spans="2:8" x14ac:dyDescent="0.25">
      <c r="B65" s="14" t="s">
        <v>63</v>
      </c>
      <c r="C65" s="13">
        <f>MAX(C62,C61)*C63*C58/C56</f>
        <v>3.6417197458515123</v>
      </c>
      <c r="E65" s="14" t="s">
        <v>63</v>
      </c>
      <c r="F65" s="13">
        <f>MAX(F62,F61)*F63*F58/F56</f>
        <v>3.5615056545331973</v>
      </c>
      <c r="H65" s="2" t="s">
        <v>70</v>
      </c>
    </row>
    <row r="66" spans="2:8" x14ac:dyDescent="0.25">
      <c r="B66" s="8" t="s">
        <v>87</v>
      </c>
      <c r="C66" s="22"/>
      <c r="D66" s="19"/>
      <c r="E66" s="17"/>
      <c r="F66" s="22"/>
      <c r="G66" s="19"/>
      <c r="H66" s="20"/>
    </row>
    <row r="67" spans="2:8" x14ac:dyDescent="0.25">
      <c r="B67" s="3" t="s">
        <v>25</v>
      </c>
      <c r="G67" s="19"/>
      <c r="H67" s="20"/>
    </row>
    <row r="68" spans="2:8" ht="18" x14ac:dyDescent="0.35">
      <c r="B68" s="12" t="s">
        <v>26</v>
      </c>
      <c r="C68" s="13">
        <f>0.15*C21</f>
        <v>47.699999999999996</v>
      </c>
      <c r="E68" s="12" t="s">
        <v>26</v>
      </c>
      <c r="F68" s="13">
        <f>0.15*F21</f>
        <v>21.15</v>
      </c>
      <c r="G68" s="19"/>
      <c r="H68" s="20"/>
    </row>
    <row r="69" spans="2:8" x14ac:dyDescent="0.25">
      <c r="B69" s="14" t="s">
        <v>0</v>
      </c>
      <c r="C69" s="12">
        <f>6*SQRT(C10*1000)/(C11*1000)</f>
        <v>6.2749501990055669E-3</v>
      </c>
      <c r="E69" s="14" t="s">
        <v>0</v>
      </c>
      <c r="F69" s="12">
        <f>6*SQRT(C10*1000)/(C11*1000)</f>
        <v>6.2749501990055669E-3</v>
      </c>
      <c r="G69" s="19"/>
      <c r="H69" s="20"/>
    </row>
    <row r="70" spans="2:8" x14ac:dyDescent="0.25">
      <c r="B70" s="14" t="s">
        <v>3</v>
      </c>
      <c r="C70" s="38" t="str">
        <f>IF(C69&lt;C27,"OK","Check")</f>
        <v>OK</v>
      </c>
      <c r="E70" s="14" t="s">
        <v>3</v>
      </c>
      <c r="F70" s="16" t="str">
        <f>IF(F69&lt;F27,"OK","Check")</f>
        <v>OK</v>
      </c>
      <c r="G70" s="19"/>
      <c r="H70" s="20"/>
    </row>
    <row r="71" spans="2:8" x14ac:dyDescent="0.25">
      <c r="B71" s="17" t="s">
        <v>80</v>
      </c>
      <c r="G71" s="19"/>
      <c r="H71" s="20"/>
    </row>
    <row r="72" spans="2:8" x14ac:dyDescent="0.25">
      <c r="B72" s="14" t="s">
        <v>28</v>
      </c>
      <c r="C72" s="9">
        <v>8</v>
      </c>
      <c r="D72" s="19"/>
      <c r="E72" s="14" t="s">
        <v>28</v>
      </c>
      <c r="F72" s="9">
        <v>8</v>
      </c>
      <c r="G72" s="20"/>
      <c r="H72" s="20" t="s">
        <v>88</v>
      </c>
    </row>
    <row r="73" spans="2:8" ht="18" x14ac:dyDescent="0.35">
      <c r="B73" s="14" t="s">
        <v>55</v>
      </c>
      <c r="C73" s="13">
        <f>MIN(8,8*C72/8)</f>
        <v>8</v>
      </c>
      <c r="E73" s="14" t="s">
        <v>55</v>
      </c>
      <c r="F73" s="13">
        <f>MIN(8,8*F72/8)</f>
        <v>8</v>
      </c>
      <c r="H73" s="20" t="s">
        <v>89</v>
      </c>
    </row>
    <row r="74" spans="2:8" x14ac:dyDescent="0.25">
      <c r="B74" s="1"/>
    </row>
  </sheetData>
  <conditionalFormatting sqref="C32">
    <cfRule type="containsText" dxfId="19" priority="51" operator="containsText" text="Not OK">
      <formula>NOT(ISERROR(SEARCH("Not OK",C32)))</formula>
    </cfRule>
    <cfRule type="containsText" dxfId="18" priority="52" operator="containsText" text="OK">
      <formula>NOT(ISERROR(SEARCH("OK",C32)))</formula>
    </cfRule>
  </conditionalFormatting>
  <conditionalFormatting sqref="F32">
    <cfRule type="containsText" dxfId="17" priority="47" operator="containsText" text="Not OK">
      <formula>NOT(ISERROR(SEARCH("Not OK",F32)))</formula>
    </cfRule>
    <cfRule type="containsText" dxfId="16" priority="48" operator="containsText" text="OK">
      <formula>NOT(ISERROR(SEARCH("OK",F32)))</formula>
    </cfRule>
  </conditionalFormatting>
  <conditionalFormatting sqref="F40">
    <cfRule type="containsText" dxfId="15" priority="46" operator="containsText" text="Yes">
      <formula>NOT(ISERROR(SEARCH("Yes",F40)))</formula>
    </cfRule>
  </conditionalFormatting>
  <conditionalFormatting sqref="C40">
    <cfRule type="containsText" dxfId="14" priority="44" operator="containsText" text="Yes">
      <formula>NOT(ISERROR(SEARCH("Yes",C40)))</formula>
    </cfRule>
  </conditionalFormatting>
  <conditionalFormatting sqref="C45 C48">
    <cfRule type="containsText" dxfId="13" priority="42" operator="containsText" text="Not OK">
      <formula>NOT(ISERROR(SEARCH("Not OK",C45)))</formula>
    </cfRule>
    <cfRule type="containsText" dxfId="12" priority="43" operator="containsText" text="OK">
      <formula>NOT(ISERROR(SEARCH("OK",C45)))</formula>
    </cfRule>
  </conditionalFormatting>
  <conditionalFormatting sqref="F45 F48">
    <cfRule type="containsText" dxfId="11" priority="40" operator="containsText" text="Not OK">
      <formula>NOT(ISERROR(SEARCH("Not OK",F45)))</formula>
    </cfRule>
    <cfRule type="containsText" dxfId="10" priority="41" operator="containsText" text="OK">
      <formula>NOT(ISERROR(SEARCH("OK",F45)))</formula>
    </cfRule>
  </conditionalFormatting>
  <conditionalFormatting sqref="C43">
    <cfRule type="containsText" dxfId="9" priority="37" operator="containsText" text="Change t">
      <formula>NOT(ISERROR(SEARCH("Change t",C43)))</formula>
    </cfRule>
  </conditionalFormatting>
  <conditionalFormatting sqref="F43">
    <cfRule type="containsText" dxfId="8" priority="36" operator="containsText" text="Change t">
      <formula>NOT(ISERROR(SEARCH("Change t",F43)))</formula>
    </cfRule>
  </conditionalFormatting>
  <conditionalFormatting sqref="C70">
    <cfRule type="containsText" dxfId="7" priority="17" operator="containsText" text="Not OK">
      <formula>NOT(ISERROR(SEARCH("Not OK",C70)))</formula>
    </cfRule>
    <cfRule type="containsText" dxfId="6" priority="18" operator="containsText" text="OK">
      <formula>NOT(ISERROR(SEARCH("OK",C70)))</formula>
    </cfRule>
  </conditionalFormatting>
  <conditionalFormatting sqref="F70">
    <cfRule type="containsText" dxfId="5" priority="13" operator="containsText" text="Not OK">
      <formula>NOT(ISERROR(SEARCH("Not OK",F70)))</formula>
    </cfRule>
    <cfRule type="containsText" dxfId="4" priority="14" operator="containsText" text="OK">
      <formula>NOT(ISERROR(SEARCH("OK",F70)))</formula>
    </cfRule>
  </conditionalFormatting>
  <conditionalFormatting sqref="C46">
    <cfRule type="containsText" dxfId="3" priority="12" operator="containsText" text="Change t">
      <formula>NOT(ISERROR(SEARCH("Change t",C46)))</formula>
    </cfRule>
  </conditionalFormatting>
  <conditionalFormatting sqref="B46">
    <cfRule type="containsText" dxfId="2" priority="11" operator="containsText" text="Change t">
      <formula>NOT(ISERROR(SEARCH("Change t",B46)))</formula>
    </cfRule>
  </conditionalFormatting>
  <conditionalFormatting sqref="F46">
    <cfRule type="containsText" dxfId="1" priority="10" operator="containsText" text="Change t">
      <formula>NOT(ISERROR(SEARCH("Change t",F46)))</formula>
    </cfRule>
  </conditionalFormatting>
  <conditionalFormatting sqref="E46">
    <cfRule type="containsText" dxfId="0" priority="9" operator="containsText" text="Change t">
      <formula>NOT(ISERROR(SEARCH("Change t",E46)))</formula>
    </cfRule>
  </conditionalFormatting>
  <printOptions gridLines="1"/>
  <pageMargins left="0.7" right="0.7" top="0.75" bottom="0.75" header="0.3" footer="0.3"/>
  <pageSetup scale="42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163C8-55D4-4A06-BA70-B4D5C49AC555}">
  <dimension ref="B2:E12"/>
  <sheetViews>
    <sheetView workbookViewId="0">
      <selection activeCell="E5" sqref="E5"/>
    </sheetView>
  </sheetViews>
  <sheetFormatPr defaultRowHeight="15" x14ac:dyDescent="0.25"/>
  <sheetData>
    <row r="2" spans="2:5" ht="17.25" x14ac:dyDescent="0.25">
      <c r="B2" s="5" t="s">
        <v>28</v>
      </c>
      <c r="C2" s="5" t="s">
        <v>31</v>
      </c>
      <c r="D2" s="5" t="s">
        <v>30</v>
      </c>
    </row>
    <row r="3" spans="2:5" x14ac:dyDescent="0.25">
      <c r="B3" s="5">
        <v>4</v>
      </c>
      <c r="C3" s="7">
        <v>0.5</v>
      </c>
      <c r="D3" s="6">
        <f>PI()*C3^2/4</f>
        <v>0.19634954084936207</v>
      </c>
    </row>
    <row r="4" spans="2:5" x14ac:dyDescent="0.25">
      <c r="B4" s="5">
        <v>5</v>
      </c>
      <c r="C4" s="7">
        <v>0.625</v>
      </c>
      <c r="D4" s="6">
        <f t="shared" ref="D4:D12" si="0">PI()*C4^2/4</f>
        <v>0.30679615757712825</v>
      </c>
    </row>
    <row r="5" spans="2:5" x14ac:dyDescent="0.25">
      <c r="B5" s="5">
        <v>6</v>
      </c>
      <c r="C5" s="7">
        <v>0.75</v>
      </c>
      <c r="D5" s="6">
        <f t="shared" si="0"/>
        <v>0.44178646691106466</v>
      </c>
      <c r="E5">
        <f>14*D5</f>
        <v>6.1850105367549055</v>
      </c>
    </row>
    <row r="6" spans="2:5" x14ac:dyDescent="0.25">
      <c r="B6" s="5">
        <v>7</v>
      </c>
      <c r="C6" s="7">
        <v>0.875</v>
      </c>
      <c r="D6" s="6">
        <f t="shared" si="0"/>
        <v>0.6013204688511713</v>
      </c>
      <c r="E6">
        <f>24*D6+34*D5</f>
        <v>29.45243112740431</v>
      </c>
    </row>
    <row r="7" spans="2:5" x14ac:dyDescent="0.25">
      <c r="B7" s="5">
        <v>8</v>
      </c>
      <c r="C7" s="7">
        <v>1</v>
      </c>
      <c r="D7" s="6">
        <f t="shared" si="0"/>
        <v>0.78539816339744828</v>
      </c>
    </row>
    <row r="8" spans="2:5" x14ac:dyDescent="0.25">
      <c r="B8" s="5">
        <v>9</v>
      </c>
      <c r="C8" s="7">
        <v>1.1279999999999999</v>
      </c>
      <c r="D8" s="6">
        <f t="shared" si="0"/>
        <v>0.99932805673629865</v>
      </c>
    </row>
    <row r="9" spans="2:5" x14ac:dyDescent="0.25">
      <c r="B9" s="5">
        <v>10</v>
      </c>
      <c r="C9" s="7">
        <v>1.27</v>
      </c>
      <c r="D9" s="6">
        <f t="shared" si="0"/>
        <v>1.2667686977437442</v>
      </c>
    </row>
    <row r="10" spans="2:5" x14ac:dyDescent="0.25">
      <c r="B10" s="5">
        <v>11</v>
      </c>
      <c r="C10" s="7">
        <v>1.41</v>
      </c>
      <c r="D10" s="6">
        <f t="shared" si="0"/>
        <v>1.5614500886504667</v>
      </c>
    </row>
    <row r="11" spans="2:5" x14ac:dyDescent="0.25">
      <c r="B11" s="5">
        <v>12</v>
      </c>
      <c r="C11" s="7">
        <v>1.5</v>
      </c>
      <c r="D11" s="6">
        <f t="shared" si="0"/>
        <v>1.7671458676442586</v>
      </c>
    </row>
    <row r="12" spans="2:5" x14ac:dyDescent="0.25">
      <c r="B12" s="5">
        <v>14</v>
      </c>
      <c r="C12" s="7">
        <v>1.6930000000000001</v>
      </c>
      <c r="D12" s="6">
        <f t="shared" si="0"/>
        <v>2.2511467004397732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Wall Design</vt:lpstr>
      <vt:lpstr>Rebar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Godinez</dc:creator>
  <cp:lastModifiedBy>Louis Lin</cp:lastModifiedBy>
  <cp:lastPrinted>2021-02-15T00:09:53Z</cp:lastPrinted>
  <dcterms:created xsi:type="dcterms:W3CDTF">2019-03-10T00:38:14Z</dcterms:created>
  <dcterms:modified xsi:type="dcterms:W3CDTF">2021-03-16T03:40:36Z</dcterms:modified>
</cp:coreProperties>
</file>