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120" windowHeight="7935"/>
  </bookViews>
  <sheets>
    <sheet name="Inputs" sheetId="4" r:id="rId1"/>
    <sheet name="Derived Data" sheetId="5" r:id="rId2"/>
    <sheet name="3 Year model" sheetId="3" r:id="rId3"/>
    <sheet name="Pricing Model" sheetId="2" r:id="rId4"/>
    <sheet name="Sheet2" sheetId="6" r:id="rId5"/>
  </sheets>
  <definedNames>
    <definedName name="capex">'Pricing Model'!$G$3:$H$8</definedName>
    <definedName name="Disc">'Pricing Model'!$D$3:$E$9</definedName>
  </definedNames>
  <calcPr calcId="145621"/>
</workbook>
</file>

<file path=xl/calcChain.xml><?xml version="1.0" encoding="utf-8"?>
<calcChain xmlns="http://schemas.openxmlformats.org/spreadsheetml/2006/main">
  <c r="D11" i="3" l="1"/>
  <c r="C32" i="4"/>
  <c r="C6" i="5"/>
  <c r="C5" i="5"/>
  <c r="J12" i="3"/>
  <c r="J11" i="3"/>
  <c r="C27" i="2" l="1"/>
  <c r="C25" i="2"/>
  <c r="D25" i="2" s="1"/>
  <c r="I25" i="2" s="1"/>
  <c r="D12" i="3"/>
  <c r="C29" i="2"/>
  <c r="D26" i="2"/>
  <c r="I26" i="2" s="1"/>
  <c r="C28" i="2"/>
  <c r="C19" i="2"/>
  <c r="D19" i="2" s="1"/>
  <c r="I19" i="2" s="1"/>
  <c r="I20" i="2"/>
  <c r="C21" i="2"/>
  <c r="E21" i="2" s="1"/>
  <c r="C14" i="2"/>
  <c r="F12" i="3" l="1"/>
  <c r="H12" i="3"/>
  <c r="G28" i="2"/>
  <c r="E28" i="2"/>
  <c r="D28" i="2"/>
  <c r="H28" i="2"/>
  <c r="F28" i="2"/>
  <c r="F21" i="2"/>
  <c r="D21" i="2"/>
  <c r="H21" i="2"/>
  <c r="G21" i="2"/>
  <c r="F29" i="2" l="1"/>
  <c r="F30" i="2" s="1"/>
  <c r="G29" i="2"/>
  <c r="G30" i="2" s="1"/>
  <c r="H29" i="2"/>
  <c r="H30" i="2" s="1"/>
  <c r="E29" i="2"/>
  <c r="E30" i="2" s="1"/>
  <c r="D29" i="2"/>
  <c r="D30" i="2" s="1"/>
  <c r="I21" i="2"/>
  <c r="I22" i="2" s="1"/>
  <c r="I30" i="2" l="1"/>
  <c r="I31" i="2" s="1"/>
  <c r="K31" i="2" l="1"/>
  <c r="L31" i="2"/>
  <c r="I13" i="2" l="1"/>
  <c r="C12" i="2"/>
  <c r="D12" i="2" s="1"/>
  <c r="I12" i="2" s="1"/>
  <c r="F15" i="2"/>
  <c r="G15" i="2"/>
  <c r="H15" i="2"/>
  <c r="E15" i="2"/>
  <c r="D14" i="2"/>
  <c r="I14" i="2" s="1"/>
  <c r="C17" i="5"/>
  <c r="D17" i="5" s="1"/>
  <c r="C15" i="5"/>
  <c r="D15" i="5" s="1"/>
  <c r="C4" i="5"/>
  <c r="D44" i="4"/>
  <c r="H11" i="3"/>
  <c r="F11" i="3"/>
  <c r="D9" i="3"/>
  <c r="D10" i="3" s="1"/>
  <c r="D6" i="3"/>
  <c r="B6" i="3"/>
  <c r="D42" i="4"/>
  <c r="I15" i="2" l="1"/>
  <c r="I16" i="2" s="1"/>
  <c r="K12" i="3"/>
  <c r="K11" i="3"/>
  <c r="F6" i="3"/>
  <c r="B32" i="4"/>
  <c r="C28" i="4"/>
  <c r="C3" i="5" l="1"/>
  <c r="C14" i="5"/>
  <c r="D14" i="5" s="1"/>
  <c r="C7" i="5"/>
  <c r="C8" i="5" s="1"/>
  <c r="C9" i="5" s="1"/>
  <c r="C11" i="5" s="1"/>
  <c r="C16" i="5" s="1"/>
  <c r="H6" i="3"/>
  <c r="C29" i="4"/>
  <c r="E44" i="4"/>
  <c r="D43" i="4"/>
  <c r="C43" i="4"/>
  <c r="C42" i="4"/>
  <c r="D41" i="4"/>
  <c r="C41" i="4"/>
  <c r="F7" i="3" l="1"/>
  <c r="F8" i="3" s="1"/>
  <c r="H7" i="3"/>
  <c r="J6" i="3"/>
  <c r="J7" i="3" s="1"/>
  <c r="H9" i="3"/>
  <c r="D7" i="3"/>
  <c r="D8" i="3" s="1"/>
  <c r="D14" i="3" s="1"/>
  <c r="H13" i="3"/>
  <c r="K6" i="3"/>
  <c r="C30" i="4"/>
  <c r="C10" i="5" s="1"/>
  <c r="C31" i="4"/>
  <c r="E43" i="4"/>
  <c r="C45" i="4"/>
  <c r="D45" i="4"/>
  <c r="E42" i="4"/>
  <c r="E41" i="4"/>
  <c r="F9" i="3"/>
  <c r="F10" i="3" s="1"/>
  <c r="F14" i="3" l="1"/>
  <c r="J8" i="3"/>
  <c r="J9" i="3"/>
  <c r="J10" i="3" s="1"/>
  <c r="J13" i="3"/>
  <c r="K9" i="3"/>
  <c r="D13" i="3"/>
  <c r="D15" i="3" s="1"/>
  <c r="F13" i="3"/>
  <c r="K7" i="3"/>
  <c r="H8" i="3"/>
  <c r="K8" i="3" s="1"/>
  <c r="E45" i="4"/>
  <c r="C33" i="4"/>
  <c r="C34" i="4" s="1"/>
  <c r="J14" i="3" l="1"/>
  <c r="J15" i="3" s="1"/>
  <c r="H10" i="3"/>
  <c r="K10" i="3" s="1"/>
  <c r="K13" i="3"/>
  <c r="F15" i="3"/>
  <c r="C36" i="4"/>
  <c r="C35" i="4"/>
  <c r="C37" i="4" s="1"/>
  <c r="H14" i="3" l="1"/>
  <c r="H15" i="3" s="1"/>
  <c r="K15" i="3" s="1"/>
  <c r="K14" i="3" l="1"/>
</calcChain>
</file>

<file path=xl/sharedStrings.xml><?xml version="1.0" encoding="utf-8"?>
<sst xmlns="http://schemas.openxmlformats.org/spreadsheetml/2006/main" count="139" uniqueCount="106">
  <si>
    <t>Cost of Cut Cable</t>
  </si>
  <si>
    <t>Cost of Dispatch</t>
  </si>
  <si>
    <t>Cost of training a new Field Tech</t>
  </si>
  <si>
    <t>Costs of Dispatches a year</t>
  </si>
  <si>
    <t>Cost of cables cuts a year</t>
  </si>
  <si>
    <t>Number of cable cuts a year</t>
  </si>
  <si>
    <t>Cost of new Field techs</t>
  </si>
  <si>
    <t>Cost with UTTO</t>
  </si>
  <si>
    <t>UTTO reduces cable cuts by</t>
  </si>
  <si>
    <t>Working days in a month</t>
  </si>
  <si>
    <t>Year 1</t>
  </si>
  <si>
    <t>Year 2</t>
  </si>
  <si>
    <t>Year 3</t>
  </si>
  <si>
    <t>Number of Field Techs</t>
  </si>
  <si>
    <t>Enter Cost Information (Enter values in shaded cells)</t>
  </si>
  <si>
    <t>Basic Dispatch information (Enter values in shaded cells)</t>
  </si>
  <si>
    <t>Data calcluated from the information entered</t>
  </si>
  <si>
    <t>% of cable cuts from total tickets submitted</t>
  </si>
  <si>
    <t>Working hours a day (exc. breaks)</t>
  </si>
  <si>
    <t>Cost without UTTO</t>
  </si>
  <si>
    <t>Savings</t>
  </si>
  <si>
    <t>UTTO reduces training time by</t>
  </si>
  <si>
    <t>Amount saved per new field Tech</t>
  </si>
  <si>
    <t># of cables cuts reduced per year</t>
  </si>
  <si>
    <t>New Field Techs trained a year</t>
  </si>
  <si>
    <t>Cost of UTTO</t>
  </si>
  <si>
    <t>Year on Year Increase in 811 tickets</t>
  </si>
  <si>
    <t>Increase in capacity</t>
  </si>
  <si>
    <t>Modelled cost with UTTO</t>
  </si>
  <si>
    <t>Modelled cost without UTTO</t>
  </si>
  <si>
    <t>Saving</t>
  </si>
  <si>
    <t>Totals</t>
  </si>
  <si>
    <t>Site visits per year</t>
  </si>
  <si>
    <t>Locates per Site visit</t>
  </si>
  <si>
    <t>UTTO reduces time to find a buried facility</t>
  </si>
  <si>
    <t>UTTO reduces site visits by</t>
  </si>
  <si>
    <t># of saved site visits a year</t>
  </si>
  <si>
    <t>Daily Time of a field Tech</t>
  </si>
  <si>
    <t>Current daily Average</t>
  </si>
  <si>
    <t>Current weekly Average</t>
  </si>
  <si>
    <t>Time saved per visit</t>
  </si>
  <si>
    <t>Costs of site visits a year with UTTO</t>
  </si>
  <si>
    <t>Snapshot Savings from UTTO  in a year</t>
  </si>
  <si>
    <t>Benefits from UTTO  (Enter values in shaded cells) *</t>
  </si>
  <si>
    <t>Field Force capacity without UTTO</t>
  </si>
  <si>
    <t>Field Force capacity</t>
  </si>
  <si>
    <t>Efficiency gains** per visit</t>
  </si>
  <si>
    <t>** UTTO increases accuracy and stores locates</t>
  </si>
  <si>
    <t>*default values are conseravtive from existing UTTO data</t>
  </si>
  <si>
    <t># of 811 tickets a year</t>
  </si>
  <si>
    <t>% of tickets needing a visit from total</t>
  </si>
  <si>
    <t>% of 811 Tickets needing a visit</t>
  </si>
  <si>
    <t>Average time a Visit</t>
  </si>
  <si>
    <t>Increase in visit a field tech could do a day</t>
  </si>
  <si>
    <t>Average # site visits a year per tech</t>
  </si>
  <si>
    <t>Average # site visits  a month</t>
  </si>
  <si>
    <t>Average # site visits a day</t>
  </si>
  <si>
    <t xml:space="preserve"> # techs needed to fulfil current demand</t>
  </si>
  <si>
    <t>Potential visits with existing workforce</t>
  </si>
  <si>
    <t>3 year model of improvments using UTTO</t>
  </si>
  <si>
    <t xml:space="preserve">% of Site visits saved a year with UTTO </t>
  </si>
  <si>
    <t>% of Cable Cuts reduced a year</t>
  </si>
  <si>
    <t>Potential capacity increase with existing field force</t>
  </si>
  <si>
    <t>Pricing Model</t>
  </si>
  <si>
    <t>Number of Users</t>
  </si>
  <si>
    <t>Perpetual</t>
  </si>
  <si>
    <t>Year 4</t>
  </si>
  <si>
    <t>Year 5</t>
  </si>
  <si>
    <t>Total Revenue</t>
  </si>
  <si>
    <t>License Cost per User</t>
  </si>
  <si>
    <t>Maintenance per user per year</t>
  </si>
  <si>
    <t>Setup Charge</t>
  </si>
  <si>
    <t xml:space="preserve"> $500,000 </t>
  </si>
  <si>
    <t>Trial fee</t>
  </si>
  <si>
    <t>10 users</t>
  </si>
  <si>
    <t xml:space="preserve"> $250,000 </t>
  </si>
  <si>
    <t>50 users</t>
  </si>
  <si>
    <t xml:space="preserve"> $750,000 </t>
  </si>
  <si>
    <t>UTTO Cost</t>
  </si>
  <si>
    <t>License</t>
  </si>
  <si>
    <t>D</t>
  </si>
  <si>
    <t>Volume Discount</t>
  </si>
  <si>
    <t>License Cost per User (inc Discount)</t>
  </si>
  <si>
    <t xml:space="preserve">License Cost </t>
  </si>
  <si>
    <t>Total</t>
  </si>
  <si>
    <t>Subscription</t>
  </si>
  <si>
    <t>Software</t>
  </si>
  <si>
    <t>Locator</t>
  </si>
  <si>
    <t>Upfront Capex</t>
  </si>
  <si>
    <t>CAPEX Discount</t>
  </si>
  <si>
    <t>Capex Discount</t>
  </si>
  <si>
    <t>Mixed model</t>
  </si>
  <si>
    <t>FEE CHARGED</t>
  </si>
  <si>
    <t>Price for Model</t>
  </si>
  <si>
    <t>Cons</t>
  </si>
  <si>
    <t>Excellent Upsell opportunities</t>
  </si>
  <si>
    <t>Likelihood of churn low</t>
  </si>
  <si>
    <t>Long time to cover costs and turn a profit</t>
  </si>
  <si>
    <t>Quicker time to profit</t>
  </si>
  <si>
    <t xml:space="preserve">CAPEX element may not be attractive option </t>
  </si>
  <si>
    <t>Immediate ROI</t>
  </si>
  <si>
    <t xml:space="preserve">Support issues  </t>
  </si>
  <si>
    <t>Poor Upsell opportunities</t>
  </si>
  <si>
    <t>Likelihood of churn high</t>
  </si>
  <si>
    <t>Pro</t>
  </si>
  <si>
    <t xml:space="preserve">Excellent Upsell opportunities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</si>
</sst>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_-[$$-409]* #,##0_ ;_-[$$-409]* \-#,##0\ ;_-[$$-409]* &quot;-&quot;??_ ;_-@_ "/>
    <numFmt numFmtId="166" formatCode="0.00000%"/>
    <numFmt numFmtId="167" formatCode="0\ &quot;mins&quot;"/>
    <numFmt numFmtId="168" formatCode="0\ &quot;days&quot;"/>
    <numFmt numFmtId="169" formatCode="0\ &quot;hours&quot;"/>
    <numFmt numFmtId="170" formatCode="0.00\ &quot;mins&quot;"/>
    <numFmt numFmtId="171" formatCode="0.00\ &quot;dispatches&quot;"/>
    <numFmt numFmtId="172" formatCode="_-* #,##0_-;\-* #,##0_-;_-* &quot;-&quot;?????_-;_-@_-"/>
    <numFmt numFmtId="173" formatCode="0.00\ &quot;visits&quot;"/>
    <numFmt numFmtId="176" formatCode="0\ &quot;visits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70" fontId="5" fillId="0" borderId="2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165" fontId="5" fillId="0" borderId="0" xfId="2" applyNumberFormat="1" applyFont="1" applyBorder="1" applyAlignment="1">
      <alignment vertical="center"/>
    </xf>
    <xf numFmtId="9" fontId="5" fillId="7" borderId="2" xfId="3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65" fontId="5" fillId="0" borderId="2" xfId="2" applyNumberFormat="1" applyFont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165" fontId="5" fillId="4" borderId="2" xfId="2" applyNumberFormat="1" applyFont="1" applyFill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5" fontId="5" fillId="0" borderId="4" xfId="0" applyNumberFormat="1" applyFont="1" applyBorder="1" applyAlignment="1">
      <alignment vertical="center"/>
    </xf>
    <xf numFmtId="165" fontId="5" fillId="4" borderId="4" xfId="0" applyNumberFormat="1" applyFont="1" applyFill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5" fontId="5" fillId="4" borderId="3" xfId="0" applyNumberFormat="1" applyFont="1" applyFill="1" applyBorder="1" applyAlignment="1">
      <alignment vertical="center"/>
    </xf>
    <xf numFmtId="165" fontId="5" fillId="4" borderId="3" xfId="2" applyNumberFormat="1" applyFont="1" applyFill="1" applyBorder="1" applyAlignment="1">
      <alignment horizontal="center" vertical="center"/>
    </xf>
    <xf numFmtId="165" fontId="5" fillId="4" borderId="3" xfId="2" applyNumberFormat="1" applyFont="1" applyFill="1" applyBorder="1" applyAlignment="1">
      <alignment horizontal="center" vertical="center"/>
    </xf>
    <xf numFmtId="165" fontId="5" fillId="4" borderId="2" xfId="2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165" fontId="5" fillId="7" borderId="2" xfId="2" applyNumberFormat="1" applyFont="1" applyFill="1" applyBorder="1" applyAlignment="1">
      <alignment vertical="center"/>
    </xf>
    <xf numFmtId="164" fontId="5" fillId="7" borderId="4" xfId="1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165" fontId="4" fillId="0" borderId="0" xfId="2" applyNumberFormat="1" applyFont="1" applyAlignment="1">
      <alignment vertical="center"/>
    </xf>
    <xf numFmtId="168" fontId="5" fillId="7" borderId="4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vertical="center"/>
    </xf>
    <xf numFmtId="169" fontId="5" fillId="7" borderId="4" xfId="1" applyNumberFormat="1" applyFont="1" applyFill="1" applyBorder="1" applyAlignment="1">
      <alignment vertical="center"/>
    </xf>
    <xf numFmtId="9" fontId="5" fillId="5" borderId="8" xfId="0" applyNumberFormat="1" applyFont="1" applyFill="1" applyBorder="1" applyAlignment="1">
      <alignment vertical="center"/>
    </xf>
    <xf numFmtId="166" fontId="5" fillId="5" borderId="2" xfId="0" applyNumberFormat="1" applyFont="1" applyFill="1" applyBorder="1" applyAlignment="1">
      <alignment vertical="center"/>
    </xf>
    <xf numFmtId="0" fontId="6" fillId="8" borderId="1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165" fontId="5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5" fillId="4" borderId="11" xfId="0" applyFont="1" applyFill="1" applyBorder="1" applyAlignment="1">
      <alignment horizontal="center" vertical="center"/>
    </xf>
    <xf numFmtId="165" fontId="5" fillId="0" borderId="14" xfId="0" applyNumberFormat="1" applyFont="1" applyBorder="1" applyAlignment="1">
      <alignment vertical="center"/>
    </xf>
    <xf numFmtId="165" fontId="5" fillId="0" borderId="17" xfId="2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16" xfId="0" applyNumberFormat="1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173" fontId="5" fillId="0" borderId="15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7" fontId="4" fillId="0" borderId="0" xfId="0" applyNumberFormat="1" applyFont="1" applyAlignment="1">
      <alignment vertical="center"/>
    </xf>
    <xf numFmtId="171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73" fontId="5" fillId="0" borderId="2" xfId="0" applyNumberFormat="1" applyFont="1" applyBorder="1" applyAlignment="1">
      <alignment vertical="center"/>
    </xf>
    <xf numFmtId="9" fontId="4" fillId="0" borderId="0" xfId="3" applyFont="1" applyAlignment="1">
      <alignment vertical="center"/>
    </xf>
    <xf numFmtId="10" fontId="5" fillId="0" borderId="2" xfId="3" applyNumberFormat="1" applyFont="1" applyBorder="1" applyAlignment="1">
      <alignment vertical="center"/>
    </xf>
    <xf numFmtId="43" fontId="4" fillId="0" borderId="0" xfId="0" applyNumberFormat="1" applyFont="1" applyAlignment="1">
      <alignment vertical="center"/>
    </xf>
    <xf numFmtId="43" fontId="5" fillId="0" borderId="0" xfId="0" applyNumberFormat="1" applyFont="1" applyBorder="1" applyAlignment="1">
      <alignment horizontal="left" vertical="center"/>
    </xf>
    <xf numFmtId="43" fontId="5" fillId="0" borderId="2" xfId="0" applyNumberFormat="1" applyFont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right" vertical="center"/>
    </xf>
    <xf numFmtId="165" fontId="5" fillId="4" borderId="3" xfId="2" applyNumberFormat="1" applyFont="1" applyFill="1" applyBorder="1" applyAlignment="1">
      <alignment horizontal="center" vertical="center"/>
    </xf>
    <xf numFmtId="9" fontId="0" fillId="0" borderId="0" xfId="0" applyNumberFormat="1"/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9" fontId="5" fillId="7" borderId="4" xfId="3" applyFont="1" applyFill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7" fillId="0" borderId="9" xfId="0" applyFont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0" fillId="0" borderId="6" xfId="0" applyBorder="1"/>
    <xf numFmtId="9" fontId="0" fillId="0" borderId="14" xfId="0" applyNumberFormat="1" applyBorder="1"/>
    <xf numFmtId="9" fontId="0" fillId="0" borderId="15" xfId="0" applyNumberFormat="1" applyBorder="1"/>
    <xf numFmtId="0" fontId="0" fillId="0" borderId="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18" xfId="0" applyBorder="1"/>
    <xf numFmtId="0" fontId="9" fillId="0" borderId="6" xfId="0" applyFont="1" applyBorder="1"/>
    <xf numFmtId="165" fontId="0" fillId="9" borderId="0" xfId="0" applyNumberFormat="1" applyFill="1" applyBorder="1" applyAlignment="1">
      <alignment horizontal="center"/>
    </xf>
    <xf numFmtId="0" fontId="0" fillId="0" borderId="0" xfId="0" applyBorder="1"/>
    <xf numFmtId="9" fontId="0" fillId="0" borderId="0" xfId="3" applyFont="1" applyBorder="1" applyAlignment="1">
      <alignment horizontal="center"/>
    </xf>
    <xf numFmtId="165" fontId="0" fillId="0" borderId="0" xfId="0" applyNumberFormat="1" applyBorder="1"/>
    <xf numFmtId="165" fontId="0" fillId="0" borderId="14" xfId="0" applyNumberFormat="1" applyBorder="1"/>
    <xf numFmtId="0" fontId="7" fillId="0" borderId="3" xfId="0" applyFont="1" applyBorder="1"/>
    <xf numFmtId="0" fontId="0" fillId="0" borderId="11" xfId="0" applyBorder="1"/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165" fontId="9" fillId="0" borderId="0" xfId="0" applyNumberFormat="1" applyFont="1" applyBorder="1"/>
    <xf numFmtId="165" fontId="7" fillId="9" borderId="8" xfId="0" applyNumberFormat="1" applyFont="1" applyFill="1" applyBorder="1" applyAlignment="1"/>
    <xf numFmtId="0" fontId="9" fillId="0" borderId="7" xfId="0" applyFont="1" applyBorder="1"/>
    <xf numFmtId="0" fontId="9" fillId="0" borderId="12" xfId="0" applyFont="1" applyBorder="1"/>
    <xf numFmtId="0" fontId="9" fillId="0" borderId="12" xfId="0" applyFont="1" applyBorder="1" applyAlignment="1">
      <alignment horizontal="right"/>
    </xf>
    <xf numFmtId="165" fontId="9" fillId="0" borderId="15" xfId="0" applyNumberFormat="1" applyFont="1" applyBorder="1"/>
    <xf numFmtId="0" fontId="0" fillId="0" borderId="5" xfId="0" applyBorder="1"/>
    <xf numFmtId="9" fontId="0" fillId="9" borderId="12" xfId="0" applyNumberFormat="1" applyFill="1" applyBorder="1" applyAlignment="1">
      <alignment horizontal="center"/>
    </xf>
    <xf numFmtId="165" fontId="0" fillId="0" borderId="12" xfId="0" applyNumberFormat="1" applyBorder="1"/>
    <xf numFmtId="165" fontId="0" fillId="0" borderId="15" xfId="0" applyNumberFormat="1" applyBorder="1"/>
    <xf numFmtId="165" fontId="0" fillId="0" borderId="18" xfId="0" applyNumberFormat="1" applyBorder="1"/>
    <xf numFmtId="165" fontId="0" fillId="0" borderId="13" xfId="0" applyNumberFormat="1" applyBorder="1"/>
    <xf numFmtId="0" fontId="9" fillId="0" borderId="3" xfId="0" applyFont="1" applyBorder="1"/>
    <xf numFmtId="0" fontId="9" fillId="0" borderId="11" xfId="0" applyFont="1" applyBorder="1"/>
    <xf numFmtId="0" fontId="9" fillId="0" borderId="11" xfId="0" applyFont="1" applyBorder="1" applyAlignment="1">
      <alignment horizontal="right"/>
    </xf>
    <xf numFmtId="165" fontId="9" fillId="0" borderId="4" xfId="0" applyNumberFormat="1" applyFont="1" applyBorder="1"/>
    <xf numFmtId="0" fontId="7" fillId="7" borderId="11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44" fontId="0" fillId="0" borderId="0" xfId="2" applyFont="1"/>
    <xf numFmtId="44" fontId="0" fillId="0" borderId="0" xfId="0" applyNumberFormat="1"/>
    <xf numFmtId="9" fontId="0" fillId="0" borderId="0" xfId="3" applyFont="1"/>
    <xf numFmtId="165" fontId="0" fillId="0" borderId="6" xfId="2" applyNumberFormat="1" applyFont="1" applyBorder="1"/>
    <xf numFmtId="165" fontId="0" fillId="0" borderId="7" xfId="2" applyNumberFormat="1" applyFont="1" applyBorder="1"/>
    <xf numFmtId="0" fontId="10" fillId="0" borderId="3" xfId="0" applyFont="1" applyBorder="1" applyAlignment="1">
      <alignment vertical="center"/>
    </xf>
    <xf numFmtId="9" fontId="10" fillId="7" borderId="2" xfId="3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64" fontId="10" fillId="0" borderId="14" xfId="0" applyNumberFormat="1" applyFont="1" applyBorder="1" applyAlignment="1">
      <alignment vertical="center"/>
    </xf>
    <xf numFmtId="164" fontId="10" fillId="0" borderId="6" xfId="0" applyNumberFormat="1" applyFont="1" applyBorder="1" applyAlignment="1">
      <alignment vertical="center"/>
    </xf>
    <xf numFmtId="164" fontId="10" fillId="0" borderId="10" xfId="0" applyNumberFormat="1" applyFont="1" applyBorder="1" applyAlignment="1">
      <alignment vertical="center"/>
    </xf>
    <xf numFmtId="9" fontId="10" fillId="0" borderId="6" xfId="0" applyNumberFormat="1" applyFont="1" applyBorder="1" applyAlignment="1">
      <alignment vertical="center"/>
    </xf>
    <xf numFmtId="165" fontId="10" fillId="0" borderId="14" xfId="2" applyNumberFormat="1" applyFont="1" applyBorder="1" applyAlignment="1">
      <alignment vertical="center"/>
    </xf>
    <xf numFmtId="9" fontId="10" fillId="0" borderId="6" xfId="3" applyFont="1" applyBorder="1" applyAlignment="1">
      <alignment vertical="center"/>
    </xf>
    <xf numFmtId="165" fontId="10" fillId="0" borderId="10" xfId="2" applyNumberFormat="1" applyFont="1" applyBorder="1" applyAlignment="1">
      <alignment vertical="center"/>
    </xf>
    <xf numFmtId="172" fontId="10" fillId="0" borderId="14" xfId="0" applyNumberFormat="1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165" fontId="10" fillId="0" borderId="15" xfId="0" applyNumberFormat="1" applyFont="1" applyBorder="1" applyAlignment="1">
      <alignment vertical="center"/>
    </xf>
    <xf numFmtId="165" fontId="10" fillId="0" borderId="8" xfId="2" applyNumberFormat="1" applyFont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/>
    <xf numFmtId="0" fontId="12" fillId="0" borderId="15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7" fillId="7" borderId="5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0" fillId="0" borderId="2" xfId="0" applyBorder="1"/>
    <xf numFmtId="0" fontId="7" fillId="7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6" fontId="5" fillId="0" borderId="15" xfId="0" applyNumberFormat="1" applyFont="1" applyBorder="1" applyAlignment="1">
      <alignment vertical="center"/>
    </xf>
    <xf numFmtId="176" fontId="5" fillId="0" borderId="2" xfId="0" applyNumberFormat="1" applyFont="1" applyBorder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24578355150398E-2"/>
          <c:y val="1.9677610351730112E-2"/>
          <c:w val="0.57933767742754549"/>
          <c:h val="0.88342065735233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 Year model'!$B$13</c:f>
              <c:strCache>
                <c:ptCount val="1"/>
                <c:pt idx="0">
                  <c:v>Modelled cost without UTTO</c:v>
                </c:pt>
              </c:strCache>
            </c:strRef>
          </c:tx>
          <c:invertIfNegative val="0"/>
          <c:val>
            <c:numRef>
              <c:f>('3 Year model'!$D$13,'3 Year model'!$F$13,'3 Year model'!$H$13)</c:f>
              <c:numCache>
                <c:formatCode>_-[$$-409]* #,##0_ ;_-[$$-409]* \-#,##0\ ;_-[$$-409]* "-"??_ ;_-@_ </c:formatCode>
                <c:ptCount val="3"/>
                <c:pt idx="0">
                  <c:v>179500000</c:v>
                </c:pt>
                <c:pt idx="1">
                  <c:v>206350000</c:v>
                </c:pt>
                <c:pt idx="2">
                  <c:v>237227500</c:v>
                </c:pt>
              </c:numCache>
            </c:numRef>
          </c:val>
        </c:ser>
        <c:ser>
          <c:idx val="1"/>
          <c:order val="1"/>
          <c:tx>
            <c:strRef>
              <c:f>'3 Year model'!$B$14</c:f>
              <c:strCache>
                <c:ptCount val="1"/>
                <c:pt idx="0">
                  <c:v>Modelled cost with UTTO</c:v>
                </c:pt>
              </c:strCache>
            </c:strRef>
          </c:tx>
          <c:invertIfNegative val="0"/>
          <c:val>
            <c:numRef>
              <c:f>('3 Year model'!$D$14,'3 Year model'!$F$14,'3 Year model'!$H$14)</c:f>
              <c:numCache>
                <c:formatCode>_-[$$-409]* #,##0_ ;_-[$$-409]* \-#,##0\ ;_-[$$-409]* "-"??_ ;_-@_ </c:formatCode>
                <c:ptCount val="3"/>
                <c:pt idx="0">
                  <c:v>132300000</c:v>
                </c:pt>
                <c:pt idx="1">
                  <c:v>145080000</c:v>
                </c:pt>
                <c:pt idx="2">
                  <c:v>158276250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54336"/>
        <c:axId val="141055872"/>
      </c:barChart>
      <c:lineChart>
        <c:grouping val="standard"/>
        <c:varyColors val="0"/>
        <c:ser>
          <c:idx val="2"/>
          <c:order val="2"/>
          <c:tx>
            <c:v>Savings</c:v>
          </c:tx>
          <c:val>
            <c:numRef>
              <c:f>('3 Year model'!$D$15,'3 Year model'!$F$15,'3 Year model'!$H$15)</c:f>
              <c:numCache>
                <c:formatCode>_-[$$-409]* #,##0_ ;_-[$$-409]* \-#,##0\ ;_-[$$-409]* "-"??_ ;_-@_ </c:formatCode>
                <c:ptCount val="3"/>
                <c:pt idx="0">
                  <c:v>47200000</c:v>
                </c:pt>
                <c:pt idx="1">
                  <c:v>61270000</c:v>
                </c:pt>
                <c:pt idx="2">
                  <c:v>78951250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63296"/>
        <c:axId val="141057408"/>
      </c:lineChart>
      <c:catAx>
        <c:axId val="14105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055872"/>
        <c:crosses val="autoZero"/>
        <c:auto val="1"/>
        <c:lblAlgn val="ctr"/>
        <c:lblOffset val="100"/>
        <c:noMultiLvlLbl val="0"/>
      </c:catAx>
      <c:valAx>
        <c:axId val="141055872"/>
        <c:scaling>
          <c:orientation val="minMax"/>
        </c:scaling>
        <c:delete val="0"/>
        <c:axPos val="l"/>
        <c:majorGridlines/>
        <c:numFmt formatCode="_-[$$-409]* #,##0_ ;_-[$$-409]* \-#,##0\ ;_-[$$-409]* &quot;-&quot;??_ ;_-@_ " sourceLinked="1"/>
        <c:majorTickMark val="out"/>
        <c:minorTickMark val="none"/>
        <c:tickLblPos val="nextTo"/>
        <c:crossAx val="141054336"/>
        <c:crosses val="autoZero"/>
        <c:crossBetween val="between"/>
      </c:valAx>
      <c:valAx>
        <c:axId val="141057408"/>
        <c:scaling>
          <c:orientation val="minMax"/>
        </c:scaling>
        <c:delete val="0"/>
        <c:axPos val="r"/>
        <c:numFmt formatCode="_-[$$-409]* #,##0_ ;_-[$$-409]* \-#,##0\ ;_-[$$-409]* &quot;-&quot;??_ ;_-@_ " sourceLinked="1"/>
        <c:majorTickMark val="out"/>
        <c:minorTickMark val="none"/>
        <c:tickLblPos val="nextTo"/>
        <c:crossAx val="141063296"/>
        <c:crosses val="max"/>
        <c:crossBetween val="between"/>
      </c:valAx>
      <c:catAx>
        <c:axId val="14106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0574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7163073342971855"/>
          <c:y val="0.45772043680317159"/>
          <c:w val="0.14351191470488281"/>
          <c:h val="0.142245125027279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15</xdr:row>
      <xdr:rowOff>185736</xdr:rowOff>
    </xdr:from>
    <xdr:to>
      <xdr:col>11</xdr:col>
      <xdr:colOff>28575</xdr:colOff>
      <xdr:row>41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3"/>
  <sheetViews>
    <sheetView tabSelected="1" topLeftCell="A10" zoomScale="70" zoomScaleNormal="70" workbookViewId="0">
      <selection activeCell="E32" sqref="E32"/>
    </sheetView>
  </sheetViews>
  <sheetFormatPr defaultRowHeight="21.75" customHeight="1" outlineLevelRow="1" x14ac:dyDescent="0.25"/>
  <cols>
    <col min="1" max="1" width="3.5703125" style="7" customWidth="1"/>
    <col min="2" max="2" width="61.140625" style="7" customWidth="1"/>
    <col min="3" max="3" width="23.5703125" style="7" customWidth="1"/>
    <col min="4" max="4" width="23.7109375" style="7" customWidth="1"/>
    <col min="5" max="5" width="61.7109375" style="7" bestFit="1" customWidth="1"/>
    <col min="6" max="6" width="18.85546875" style="7" bestFit="1" customWidth="1"/>
    <col min="7" max="7" width="26.85546875" style="7" bestFit="1" customWidth="1"/>
    <col min="8" max="8" width="20.140625" style="7" customWidth="1"/>
    <col min="9" max="9" width="23.5703125" style="7" customWidth="1"/>
    <col min="10" max="10" width="20.28515625" style="7" customWidth="1"/>
    <col min="11" max="11" width="20.5703125" style="7" customWidth="1"/>
    <col min="12" max="16384" width="9.140625" style="7"/>
  </cols>
  <sheetData>
    <row r="1" spans="2:11" ht="21" customHeight="1" thickBot="1" x14ac:dyDescent="0.3"/>
    <row r="2" spans="2:11" ht="21" customHeight="1" thickBot="1" x14ac:dyDescent="0.3">
      <c r="B2" s="73" t="s">
        <v>78</v>
      </c>
      <c r="C2" s="74"/>
    </row>
    <row r="3" spans="2:11" ht="21" customHeight="1" thickBot="1" x14ac:dyDescent="0.3">
      <c r="B3" s="43" t="s">
        <v>79</v>
      </c>
      <c r="C3" s="30">
        <v>5000</v>
      </c>
    </row>
    <row r="4" spans="2:11" ht="21" customHeight="1" thickBot="1" x14ac:dyDescent="0.3"/>
    <row r="5" spans="2:11" ht="21.75" customHeight="1" thickBot="1" x14ac:dyDescent="0.3">
      <c r="B5" s="154" t="s">
        <v>14</v>
      </c>
      <c r="C5" s="155"/>
    </row>
    <row r="6" spans="2:11" ht="21.75" customHeight="1" thickBot="1" x14ac:dyDescent="0.3">
      <c r="B6" s="29" t="s">
        <v>0</v>
      </c>
      <c r="C6" s="30">
        <v>100000</v>
      </c>
      <c r="K6" s="32"/>
    </row>
    <row r="7" spans="2:11" ht="21.75" customHeight="1" thickBot="1" x14ac:dyDescent="0.3">
      <c r="B7" s="8" t="s">
        <v>1</v>
      </c>
      <c r="C7" s="30">
        <v>200</v>
      </c>
    </row>
    <row r="8" spans="2:11" ht="21.75" customHeight="1" thickBot="1" x14ac:dyDescent="0.3">
      <c r="B8" s="18" t="s">
        <v>2</v>
      </c>
      <c r="C8" s="30">
        <v>20000</v>
      </c>
      <c r="K8" s="33"/>
    </row>
    <row r="9" spans="2:11" ht="21.75" customHeight="1" thickBot="1" x14ac:dyDescent="0.3"/>
    <row r="10" spans="2:11" ht="21.75" customHeight="1" thickBot="1" x14ac:dyDescent="0.3">
      <c r="B10" s="68" t="s">
        <v>15</v>
      </c>
      <c r="C10" s="67"/>
      <c r="K10" s="35"/>
    </row>
    <row r="11" spans="2:11" ht="21.75" customHeight="1" thickBot="1" x14ac:dyDescent="0.3">
      <c r="B11" s="70" t="s">
        <v>13</v>
      </c>
      <c r="C11" s="31">
        <v>4000</v>
      </c>
      <c r="K11" s="35"/>
    </row>
    <row r="12" spans="2:11" ht="21.75" customHeight="1" thickBot="1" x14ac:dyDescent="0.3">
      <c r="B12" s="71" t="s">
        <v>49</v>
      </c>
      <c r="C12" s="31">
        <v>2900000</v>
      </c>
    </row>
    <row r="13" spans="2:11" ht="21.75" customHeight="1" thickBot="1" x14ac:dyDescent="0.3">
      <c r="B13" s="71" t="s">
        <v>33</v>
      </c>
      <c r="C13" s="31">
        <v>1</v>
      </c>
    </row>
    <row r="14" spans="2:11" ht="21.75" customHeight="1" thickBot="1" x14ac:dyDescent="0.3">
      <c r="B14" s="71" t="s">
        <v>51</v>
      </c>
      <c r="C14" s="69">
        <v>0.3</v>
      </c>
    </row>
    <row r="15" spans="2:11" ht="21.75" customHeight="1" thickBot="1" x14ac:dyDescent="0.3">
      <c r="B15" s="3" t="s">
        <v>9</v>
      </c>
      <c r="C15" s="34">
        <v>20</v>
      </c>
    </row>
    <row r="16" spans="2:11" ht="21.75" customHeight="1" thickBot="1" x14ac:dyDescent="0.3">
      <c r="B16" s="3" t="s">
        <v>18</v>
      </c>
      <c r="C16" s="36">
        <v>8</v>
      </c>
    </row>
    <row r="17" spans="2:11" ht="21.75" customHeight="1" thickBot="1" x14ac:dyDescent="0.3">
      <c r="B17" s="3" t="s">
        <v>5</v>
      </c>
      <c r="C17" s="31">
        <v>50</v>
      </c>
    </row>
    <row r="18" spans="2:11" ht="21.75" customHeight="1" thickBot="1" x14ac:dyDescent="0.3">
      <c r="B18" s="4" t="s">
        <v>24</v>
      </c>
      <c r="C18" s="31">
        <v>25</v>
      </c>
    </row>
    <row r="20" spans="2:11" ht="21.75" customHeight="1" thickBot="1" x14ac:dyDescent="0.3">
      <c r="B20" s="72" t="s">
        <v>43</v>
      </c>
      <c r="C20" s="39"/>
    </row>
    <row r="21" spans="2:11" ht="21.75" customHeight="1" thickBot="1" x14ac:dyDescent="0.3">
      <c r="B21" s="40" t="s">
        <v>35</v>
      </c>
      <c r="C21" s="11">
        <v>0.15</v>
      </c>
    </row>
    <row r="22" spans="2:11" ht="21.75" customHeight="1" thickBot="1" x14ac:dyDescent="0.3">
      <c r="B22" s="12" t="s">
        <v>8</v>
      </c>
      <c r="C22" s="11">
        <v>0.05</v>
      </c>
    </row>
    <row r="23" spans="2:11" ht="21.75" customHeight="1" thickBot="1" x14ac:dyDescent="0.3">
      <c r="B23" s="12" t="s">
        <v>34</v>
      </c>
      <c r="C23" s="11">
        <v>0.1</v>
      </c>
    </row>
    <row r="24" spans="2:11" ht="21.75" customHeight="1" thickBot="1" x14ac:dyDescent="0.3">
      <c r="B24" s="43" t="s">
        <v>21</v>
      </c>
      <c r="C24" s="11">
        <v>0.1</v>
      </c>
    </row>
    <row r="25" spans="2:11" ht="21.75" customHeight="1" x14ac:dyDescent="0.25">
      <c r="B25" s="28" t="s">
        <v>48</v>
      </c>
      <c r="C25" s="1"/>
    </row>
    <row r="26" spans="2:11" ht="21.75" customHeight="1" outlineLevel="1" thickBot="1" x14ac:dyDescent="0.3">
      <c r="B26" s="6"/>
      <c r="C26" s="6"/>
      <c r="J26" s="9"/>
      <c r="K26" s="10"/>
    </row>
    <row r="27" spans="2:11" ht="21.75" customHeight="1" outlineLevel="1" thickBot="1" x14ac:dyDescent="0.3">
      <c r="B27" s="152" t="s">
        <v>62</v>
      </c>
      <c r="C27" s="153"/>
      <c r="G27" s="9"/>
      <c r="H27" s="9"/>
      <c r="I27" s="9"/>
    </row>
    <row r="28" spans="2:11" ht="21.75" customHeight="1" outlineLevel="1" thickBot="1" x14ac:dyDescent="0.3">
      <c r="B28" s="2" t="s">
        <v>45</v>
      </c>
      <c r="C28" s="31">
        <f>C11</f>
        <v>4000</v>
      </c>
      <c r="G28" s="9"/>
      <c r="H28" s="9"/>
      <c r="I28" s="9"/>
    </row>
    <row r="29" spans="2:11" ht="21.75" customHeight="1" outlineLevel="1" thickBot="1" x14ac:dyDescent="0.3">
      <c r="B29" s="3" t="s">
        <v>44</v>
      </c>
      <c r="C29" s="50">
        <f>'Derived Data'!C5</f>
        <v>870000</v>
      </c>
      <c r="G29" s="9"/>
      <c r="H29" s="9"/>
      <c r="I29" s="9"/>
    </row>
    <row r="30" spans="2:11" ht="21.75" customHeight="1" thickBot="1" x14ac:dyDescent="0.3">
      <c r="B30" s="3" t="s">
        <v>38</v>
      </c>
      <c r="C30" s="51">
        <f>'Derived Data'!C8/C15</f>
        <v>0.9</v>
      </c>
      <c r="F30" s="9"/>
    </row>
    <row r="31" spans="2:11" ht="21.75" customHeight="1" thickBot="1" x14ac:dyDescent="0.3">
      <c r="B31" s="3" t="s">
        <v>52</v>
      </c>
      <c r="C31" s="5">
        <f>'Derived Data'!C11</f>
        <v>533.33333333333337</v>
      </c>
      <c r="K31" s="10"/>
    </row>
    <row r="32" spans="2:11" ht="21.75" customHeight="1" outlineLevel="1" thickBot="1" x14ac:dyDescent="0.3">
      <c r="B32" s="3" t="str">
        <f>B23</f>
        <v>UTTO reduces time to find a buried facility</v>
      </c>
      <c r="C32" s="37">
        <f>C24</f>
        <v>0.1</v>
      </c>
      <c r="K32" s="10"/>
    </row>
    <row r="33" spans="2:11" ht="21.75" customHeight="1" outlineLevel="1" thickBot="1" x14ac:dyDescent="0.3">
      <c r="B33" s="3" t="s">
        <v>40</v>
      </c>
      <c r="C33" s="5">
        <f>'Derived Data'!C16</f>
        <v>53.333333333333343</v>
      </c>
      <c r="K33" s="10"/>
    </row>
    <row r="34" spans="2:11" ht="21.75" customHeight="1" outlineLevel="1" thickBot="1" x14ac:dyDescent="0.3">
      <c r="B34" s="3" t="s">
        <v>53</v>
      </c>
      <c r="C34" s="57">
        <f>('Derived Data'!C6/(C31-C33))-C30</f>
        <v>9.9999999999999978E-2</v>
      </c>
      <c r="K34" s="10"/>
    </row>
    <row r="35" spans="2:11" ht="21.75" customHeight="1" outlineLevel="1" thickBot="1" x14ac:dyDescent="0.3">
      <c r="B35" s="3" t="s">
        <v>27</v>
      </c>
      <c r="C35" s="59">
        <f>1-(C30/(C34+C30))</f>
        <v>9.9999999999999978E-2</v>
      </c>
      <c r="K35" s="10"/>
    </row>
    <row r="36" spans="2:11" ht="21.75" customHeight="1" outlineLevel="1" thickBot="1" x14ac:dyDescent="0.3">
      <c r="B36" s="3" t="s">
        <v>58</v>
      </c>
      <c r="C36" s="51">
        <f>(((C34+C30)*C15)*12)*C11</f>
        <v>960000</v>
      </c>
      <c r="J36" s="9"/>
      <c r="K36" s="10"/>
    </row>
    <row r="37" spans="2:11" ht="21.75" customHeight="1" outlineLevel="1" thickBot="1" x14ac:dyDescent="0.3">
      <c r="B37" s="4" t="s">
        <v>57</v>
      </c>
      <c r="C37" s="62">
        <f>ROUNDDOWN(C11-(C35*C11),0)</f>
        <v>3600</v>
      </c>
      <c r="J37" s="9"/>
      <c r="K37" s="10"/>
    </row>
    <row r="38" spans="2:11" ht="21.75" customHeight="1" outlineLevel="1" thickBot="1" x14ac:dyDescent="0.3">
      <c r="J38" s="9"/>
      <c r="K38" s="10"/>
    </row>
    <row r="39" spans="2:11" ht="21.75" customHeight="1" outlineLevel="1" thickBot="1" x14ac:dyDescent="0.3">
      <c r="B39" s="26" t="s">
        <v>42</v>
      </c>
      <c r="C39" s="44"/>
      <c r="D39" s="44"/>
      <c r="E39" s="27"/>
      <c r="J39" s="9"/>
      <c r="K39" s="10"/>
    </row>
    <row r="40" spans="2:11" ht="21.75" customHeight="1" outlineLevel="1" thickBot="1" x14ac:dyDescent="0.3">
      <c r="B40" s="63"/>
      <c r="C40" s="64" t="s">
        <v>19</v>
      </c>
      <c r="D40" s="44" t="s">
        <v>7</v>
      </c>
      <c r="E40" s="27" t="s">
        <v>20</v>
      </c>
      <c r="J40" s="9"/>
      <c r="K40" s="10"/>
    </row>
    <row r="41" spans="2:11" ht="21.75" customHeight="1" outlineLevel="1" x14ac:dyDescent="0.25">
      <c r="B41" s="8" t="s">
        <v>3</v>
      </c>
      <c r="C41" s="10">
        <f>C7*'Derived Data'!C5</f>
        <v>174000000</v>
      </c>
      <c r="D41" s="9">
        <f>(C7*('Derived Data'!C5-('Derived Data'!C5*C21)))</f>
        <v>147900000</v>
      </c>
      <c r="E41" s="45">
        <f>C41-D41</f>
        <v>26100000</v>
      </c>
      <c r="J41" s="9"/>
      <c r="K41" s="10"/>
    </row>
    <row r="42" spans="2:11" ht="21.75" customHeight="1" outlineLevel="1" x14ac:dyDescent="0.25">
      <c r="B42" s="8" t="s">
        <v>4</v>
      </c>
      <c r="C42" s="10">
        <f>C6*C17</f>
        <v>5000000</v>
      </c>
      <c r="D42" s="9">
        <f>(C6*(C17-(C17*C22)))</f>
        <v>4750000</v>
      </c>
      <c r="E42" s="45">
        <f>C42-D42</f>
        <v>250000</v>
      </c>
      <c r="J42" s="9"/>
      <c r="K42" s="10"/>
    </row>
    <row r="43" spans="2:11" ht="21.75" customHeight="1" outlineLevel="1" x14ac:dyDescent="0.25">
      <c r="B43" s="8" t="s">
        <v>6</v>
      </c>
      <c r="C43" s="10">
        <f>C8*C18</f>
        <v>500000</v>
      </c>
      <c r="D43" s="9">
        <f>(C8*(C18-(C18*C24)))</f>
        <v>450000</v>
      </c>
      <c r="E43" s="45">
        <f>C43-D43</f>
        <v>50000</v>
      </c>
      <c r="J43" s="9"/>
      <c r="K43" s="10"/>
    </row>
    <row r="44" spans="2:11" ht="21.75" customHeight="1" x14ac:dyDescent="0.25">
      <c r="B44" s="8" t="s">
        <v>25</v>
      </c>
      <c r="C44" s="46">
        <v>0</v>
      </c>
      <c r="D44" s="9">
        <f>C3*C11</f>
        <v>20000000</v>
      </c>
      <c r="E44" s="45">
        <f>D44</f>
        <v>20000000</v>
      </c>
      <c r="J44" s="9"/>
      <c r="K44" s="10"/>
    </row>
    <row r="45" spans="2:11" ht="21.75" customHeight="1" thickBot="1" x14ac:dyDescent="0.3">
      <c r="B45" s="47"/>
      <c r="C45" s="48">
        <f>SUM(C41:C44)</f>
        <v>179500000</v>
      </c>
      <c r="D45" s="48">
        <f>SUM(D41:D44)</f>
        <v>173100000</v>
      </c>
      <c r="E45" s="49">
        <f>SUM(E41:E44)</f>
        <v>46400000</v>
      </c>
      <c r="J45" s="9"/>
      <c r="K45" s="10"/>
    </row>
    <row r="46" spans="2:11" ht="21.75" customHeight="1" x14ac:dyDescent="0.25">
      <c r="J46" s="9"/>
      <c r="K46" s="10"/>
    </row>
    <row r="47" spans="2:11" ht="21.75" customHeight="1" x14ac:dyDescent="0.25">
      <c r="J47" s="9"/>
      <c r="K47" s="10"/>
    </row>
    <row r="48" spans="2:11" ht="21.75" customHeight="1" x14ac:dyDescent="0.25">
      <c r="J48" s="9"/>
      <c r="K48" s="10"/>
    </row>
    <row r="49" spans="3:11" ht="21.75" customHeight="1" x14ac:dyDescent="0.25">
      <c r="J49" s="9"/>
      <c r="K49" s="10"/>
    </row>
    <row r="50" spans="3:11" ht="21.75" customHeight="1" x14ac:dyDescent="0.25">
      <c r="J50" s="9"/>
      <c r="K50" s="10"/>
    </row>
    <row r="51" spans="3:11" ht="21.75" customHeight="1" x14ac:dyDescent="0.25">
      <c r="J51" s="9"/>
      <c r="K51" s="10"/>
    </row>
    <row r="52" spans="3:11" ht="21.75" customHeight="1" x14ac:dyDescent="0.25">
      <c r="J52" s="9"/>
      <c r="K52" s="10"/>
    </row>
    <row r="53" spans="3:11" ht="21.75" customHeight="1" x14ac:dyDescent="0.25">
      <c r="J53" s="9"/>
      <c r="K53" s="10"/>
    </row>
    <row r="54" spans="3:11" ht="21.75" customHeight="1" x14ac:dyDescent="0.25">
      <c r="D54" s="6"/>
      <c r="E54" s="6"/>
      <c r="F54" s="9"/>
      <c r="G54" s="9"/>
      <c r="H54" s="9"/>
      <c r="I54" s="9"/>
    </row>
    <row r="55" spans="3:11" ht="21.75" customHeight="1" x14ac:dyDescent="0.25">
      <c r="D55" s="6"/>
      <c r="E55" s="6"/>
      <c r="F55" s="9"/>
      <c r="G55" s="9"/>
      <c r="H55" s="9"/>
      <c r="I55" s="9"/>
      <c r="J55" s="9"/>
      <c r="K55" s="10"/>
    </row>
    <row r="56" spans="3:11" ht="21.75" customHeight="1" x14ac:dyDescent="0.25">
      <c r="D56" s="6"/>
      <c r="E56" s="6"/>
      <c r="F56" s="9"/>
      <c r="G56" s="9"/>
      <c r="H56" s="9"/>
      <c r="I56" s="9"/>
      <c r="J56" s="9"/>
      <c r="K56" s="10"/>
    </row>
    <row r="57" spans="3:11" ht="21.75" customHeight="1" x14ac:dyDescent="0.25">
      <c r="E57" s="61"/>
      <c r="F57" s="9"/>
      <c r="G57" s="9"/>
      <c r="H57" s="9"/>
      <c r="I57" s="9"/>
      <c r="J57" s="9"/>
      <c r="K57" s="10"/>
    </row>
    <row r="58" spans="3:11" ht="21.75" customHeight="1" x14ac:dyDescent="0.25">
      <c r="C58" s="60"/>
      <c r="D58" s="6"/>
      <c r="E58" s="6"/>
      <c r="F58" s="9"/>
      <c r="G58" s="9"/>
      <c r="H58" s="9"/>
      <c r="I58" s="9"/>
      <c r="J58" s="9"/>
      <c r="K58" s="10"/>
    </row>
    <row r="59" spans="3:11" ht="21.75" customHeight="1" x14ac:dyDescent="0.25">
      <c r="J59" s="9"/>
      <c r="K59" s="10"/>
    </row>
    <row r="68" spans="2:10" ht="21.75" customHeight="1" x14ac:dyDescent="0.25">
      <c r="B68" s="52"/>
      <c r="C68" s="52"/>
      <c r="D68" s="52"/>
      <c r="E68" s="52"/>
      <c r="F68" s="52"/>
      <c r="G68" s="16"/>
      <c r="H68" s="53"/>
      <c r="I68" s="53"/>
    </row>
    <row r="69" spans="2:10" s="52" customFormat="1" ht="21.75" customHeight="1" x14ac:dyDescent="0.25">
      <c r="B69" s="7"/>
      <c r="C69" s="7"/>
      <c r="E69" s="54"/>
      <c r="F69" s="7"/>
      <c r="G69" s="16"/>
      <c r="H69" s="53"/>
      <c r="I69" s="53"/>
    </row>
    <row r="70" spans="2:10" ht="21.75" customHeight="1" x14ac:dyDescent="0.25">
      <c r="D70" s="52"/>
      <c r="G70" s="55"/>
      <c r="H70" s="53"/>
      <c r="I70" s="53"/>
    </row>
    <row r="71" spans="2:10" ht="21.75" customHeight="1" x14ac:dyDescent="0.25">
      <c r="G71" s="55"/>
      <c r="H71" s="53"/>
      <c r="I71" s="53"/>
      <c r="J71" s="56"/>
    </row>
    <row r="72" spans="2:10" ht="21.75" customHeight="1" x14ac:dyDescent="0.25">
      <c r="G72" s="55"/>
      <c r="H72" s="53"/>
      <c r="I72" s="53"/>
      <c r="J72" s="56"/>
    </row>
    <row r="73" spans="2:10" ht="21.75" customHeight="1" x14ac:dyDescent="0.25">
      <c r="G73" s="58"/>
      <c r="J73" s="56"/>
    </row>
  </sheetData>
  <mergeCells count="2">
    <mergeCell ref="B27:C27"/>
    <mergeCell ref="B5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1" sqref="B21"/>
    </sheetView>
  </sheetViews>
  <sheetFormatPr defaultRowHeight="15" outlineLevelRow="1" x14ac:dyDescent="0.25"/>
  <cols>
    <col min="2" max="2" width="61.7109375" bestFit="1" customWidth="1"/>
    <col min="3" max="3" width="21.140625" bestFit="1" customWidth="1"/>
    <col min="4" max="4" width="20.28515625" bestFit="1" customWidth="1"/>
  </cols>
  <sheetData>
    <row r="1" spans="1:9" ht="15.75" thickBot="1" x14ac:dyDescent="0.3">
      <c r="A1" t="s">
        <v>80</v>
      </c>
    </row>
    <row r="2" spans="1:9" ht="18.75" thickBot="1" x14ac:dyDescent="0.3">
      <c r="B2" s="73" t="s">
        <v>16</v>
      </c>
      <c r="C2" s="74"/>
    </row>
    <row r="3" spans="1:9" ht="18.75" thickBot="1" x14ac:dyDescent="0.3">
      <c r="B3" s="2" t="s">
        <v>50</v>
      </c>
      <c r="C3" s="37">
        <f>ROUNDDOWN('Derived Data'!C5/Inputs!C12,3)</f>
        <v>0.3</v>
      </c>
    </row>
    <row r="4" spans="1:9" ht="18.75" thickBot="1" x14ac:dyDescent="0.3">
      <c r="B4" s="3" t="s">
        <v>17</v>
      </c>
      <c r="C4" s="38">
        <f>Inputs!C17/Inputs!C12</f>
        <v>1.7241379310344828E-5</v>
      </c>
    </row>
    <row r="5" spans="1:9" s="7" customFormat="1" ht="21.75" customHeight="1" thickBot="1" x14ac:dyDescent="0.3">
      <c r="B5" s="71" t="s">
        <v>32</v>
      </c>
      <c r="C5" s="50">
        <f>(Inputs!C12/Inputs!C13)*Inputs!C14</f>
        <v>870000</v>
      </c>
    </row>
    <row r="6" spans="1:9" s="7" customFormat="1" ht="21.75" customHeight="1" outlineLevel="1" thickBot="1" x14ac:dyDescent="0.3">
      <c r="B6" s="3" t="s">
        <v>37</v>
      </c>
      <c r="C6" s="5">
        <f>Inputs!C16*60</f>
        <v>480</v>
      </c>
      <c r="F6" s="9"/>
      <c r="G6" s="9"/>
      <c r="H6" s="9"/>
      <c r="I6" s="9"/>
    </row>
    <row r="7" spans="1:9" ht="18.75" thickBot="1" x14ac:dyDescent="0.3">
      <c r="B7" s="3" t="s">
        <v>54</v>
      </c>
      <c r="C7" s="161">
        <f>ROUNDDOWN('Derived Data'!C5/Inputs!C11,0)</f>
        <v>217</v>
      </c>
    </row>
    <row r="8" spans="1:9" ht="18.75" thickBot="1" x14ac:dyDescent="0.3">
      <c r="B8" s="3" t="s">
        <v>55</v>
      </c>
      <c r="C8" s="161">
        <f>ROUNDDOWN(C7/12,0)</f>
        <v>18</v>
      </c>
    </row>
    <row r="9" spans="1:9" ht="18.75" thickBot="1" x14ac:dyDescent="0.3">
      <c r="B9" s="3" t="s">
        <v>56</v>
      </c>
      <c r="C9" s="161">
        <f>C8/Inputs!C15</f>
        <v>0.9</v>
      </c>
    </row>
    <row r="10" spans="1:9" s="1" customFormat="1" ht="21.75" customHeight="1" thickBot="1" x14ac:dyDescent="0.3">
      <c r="B10" s="3" t="s">
        <v>39</v>
      </c>
      <c r="C10" s="161">
        <f>Inputs!C30*5</f>
        <v>4.5</v>
      </c>
    </row>
    <row r="11" spans="1:9" ht="18.75" thickBot="1" x14ac:dyDescent="0.3">
      <c r="B11" s="4" t="s">
        <v>52</v>
      </c>
      <c r="C11" s="162">
        <f>(Inputs!C16*60)/C9</f>
        <v>533.33333333333337</v>
      </c>
    </row>
    <row r="12" spans="1:9" ht="15.75" thickBot="1" x14ac:dyDescent="0.3"/>
    <row r="13" spans="1:9" ht="18.75" thickBot="1" x14ac:dyDescent="0.3">
      <c r="B13" s="73"/>
      <c r="C13" s="73"/>
      <c r="D13" s="74"/>
    </row>
    <row r="14" spans="1:9" ht="18.75" thickBot="1" x14ac:dyDescent="0.3">
      <c r="B14" s="40" t="s">
        <v>36</v>
      </c>
      <c r="C14" s="75">
        <f>'Derived Data'!C5*Inputs!C21</f>
        <v>130500</v>
      </c>
      <c r="D14" s="41">
        <f>C14*Inputs!C7</f>
        <v>26100000</v>
      </c>
    </row>
    <row r="15" spans="1:9" ht="18.75" thickBot="1" x14ac:dyDescent="0.3">
      <c r="B15" s="12" t="s">
        <v>23</v>
      </c>
      <c r="C15" s="75">
        <f>Inputs!C22*Inputs!C17</f>
        <v>2.5</v>
      </c>
      <c r="D15" s="41">
        <f>C15*Inputs!C6</f>
        <v>250000</v>
      </c>
    </row>
    <row r="16" spans="1:9" ht="18.75" thickBot="1" x14ac:dyDescent="0.3">
      <c r="B16" s="12" t="s">
        <v>46</v>
      </c>
      <c r="C16" s="5">
        <f>('Derived Data'!C11*Inputs!C23)</f>
        <v>53.333333333333343</v>
      </c>
      <c r="D16" s="42"/>
    </row>
    <row r="17" spans="2:4" ht="18.75" thickBot="1" x14ac:dyDescent="0.3">
      <c r="B17" s="43" t="s">
        <v>22</v>
      </c>
      <c r="C17" s="13">
        <f>Inputs!C8*Inputs!C24</f>
        <v>2000</v>
      </c>
      <c r="D17" s="41">
        <f>C17*Inputs!C18</f>
        <v>50000</v>
      </c>
    </row>
    <row r="18" spans="2:4" ht="18" x14ac:dyDescent="0.25">
      <c r="B18" s="28" t="s">
        <v>47</v>
      </c>
      <c r="C18" s="1"/>
      <c r="D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B6" sqref="B6"/>
    </sheetView>
  </sheetViews>
  <sheetFormatPr defaultRowHeight="15" x14ac:dyDescent="0.25"/>
  <cols>
    <col min="2" max="2" width="57.85546875" bestFit="1" customWidth="1"/>
    <col min="3" max="3" width="11.28515625" bestFit="1" customWidth="1"/>
    <col min="4" max="4" width="22.7109375" bestFit="1" customWidth="1"/>
    <col min="5" max="5" width="6.85546875" bestFit="1" customWidth="1"/>
    <col min="6" max="6" width="22.7109375" bestFit="1" customWidth="1"/>
    <col min="7" max="7" width="6.85546875" bestFit="1" customWidth="1"/>
    <col min="8" max="8" width="22.7109375" bestFit="1" customWidth="1"/>
    <col min="9" max="9" width="8.5703125" customWidth="1"/>
    <col min="10" max="11" width="22.7109375" bestFit="1" customWidth="1"/>
  </cols>
  <sheetData>
    <row r="2" spans="2:11" ht="15.75" thickBot="1" x14ac:dyDescent="0.3"/>
    <row r="3" spans="2:11" ht="18.75" thickBot="1" x14ac:dyDescent="0.3">
      <c r="B3" s="26" t="s">
        <v>59</v>
      </c>
      <c r="C3" s="44"/>
      <c r="D3" s="44"/>
      <c r="E3" s="44"/>
      <c r="F3" s="44"/>
      <c r="G3" s="44"/>
      <c r="H3" s="44"/>
      <c r="I3" s="44"/>
      <c r="J3" s="44"/>
      <c r="K3" s="27"/>
    </row>
    <row r="4" spans="2:11" ht="18.75" thickBot="1" x14ac:dyDescent="0.3">
      <c r="B4" s="23"/>
      <c r="C4" s="65"/>
      <c r="D4" s="24" t="s">
        <v>10</v>
      </c>
      <c r="E4" s="65"/>
      <c r="F4" s="151" t="s">
        <v>11</v>
      </c>
      <c r="G4" s="65"/>
      <c r="H4" s="151" t="s">
        <v>12</v>
      </c>
      <c r="I4" s="151"/>
      <c r="J4" s="151" t="s">
        <v>66</v>
      </c>
      <c r="K4" s="25" t="s">
        <v>31</v>
      </c>
    </row>
    <row r="5" spans="2:11" ht="16.5" thickBot="1" x14ac:dyDescent="0.3">
      <c r="B5" s="122" t="s">
        <v>26</v>
      </c>
      <c r="C5" s="123">
        <v>0.15</v>
      </c>
      <c r="D5" s="124"/>
      <c r="E5" s="124"/>
      <c r="F5" s="124"/>
      <c r="G5" s="124"/>
      <c r="H5" s="124"/>
      <c r="I5" s="124"/>
      <c r="J5" s="124"/>
      <c r="K5" s="125"/>
    </row>
    <row r="6" spans="2:11" ht="16.5" thickBot="1" x14ac:dyDescent="0.3">
      <c r="B6" s="126" t="str">
        <f>Inputs!B12</f>
        <v># of 811 tickets a year</v>
      </c>
      <c r="C6" s="127"/>
      <c r="D6" s="128">
        <f>Inputs!C12</f>
        <v>2900000</v>
      </c>
      <c r="E6" s="129"/>
      <c r="F6" s="128">
        <f>(D6*$C$5)+D6</f>
        <v>3335000</v>
      </c>
      <c r="G6" s="129"/>
      <c r="H6" s="128">
        <f>(F6*$C$5)+F6</f>
        <v>3835250</v>
      </c>
      <c r="I6" s="129"/>
      <c r="J6" s="128">
        <f>(H6*$C$5)+H6</f>
        <v>4410537.5</v>
      </c>
      <c r="K6" s="130">
        <f t="shared" ref="K6:K15" si="0">H6+F6+D6</f>
        <v>10070250</v>
      </c>
    </row>
    <row r="7" spans="2:11" ht="16.5" thickBot="1" x14ac:dyDescent="0.3">
      <c r="B7" s="126" t="s">
        <v>60</v>
      </c>
      <c r="C7" s="123">
        <v>0.15</v>
      </c>
      <c r="D7" s="128">
        <f>(D6*'Derived Data'!$C$3)-((D6*'Derived Data'!$C$3)*C7)</f>
        <v>739500</v>
      </c>
      <c r="E7" s="123">
        <v>0.2</v>
      </c>
      <c r="F7" s="128">
        <f>(F6*'Derived Data'!$C$3)-((F6*'Derived Data'!$C$3)*E7)</f>
        <v>800400</v>
      </c>
      <c r="G7" s="123">
        <v>0.25</v>
      </c>
      <c r="H7" s="128">
        <f>(H6*'Derived Data'!$C$3)-((H6*'Derived Data'!$C$3)*G7)</f>
        <v>862931.25</v>
      </c>
      <c r="I7" s="123">
        <v>0.3</v>
      </c>
      <c r="J7" s="128">
        <f>(J6*'Derived Data'!$C$3)-((J6*'Derived Data'!$C$3)*I7)</f>
        <v>926212.875</v>
      </c>
      <c r="K7" s="130">
        <f t="shared" si="0"/>
        <v>2402831.25</v>
      </c>
    </row>
    <row r="8" spans="2:11" ht="16.5" thickBot="1" x14ac:dyDescent="0.3">
      <c r="B8" s="126" t="s">
        <v>41</v>
      </c>
      <c r="C8" s="131"/>
      <c r="D8" s="132">
        <f>D7*Inputs!$C$7</f>
        <v>147900000</v>
      </c>
      <c r="E8" s="133"/>
      <c r="F8" s="132">
        <f>F7*Inputs!$C$7</f>
        <v>160080000</v>
      </c>
      <c r="G8" s="133"/>
      <c r="H8" s="132">
        <f>H7*Inputs!$C$7</f>
        <v>172586250</v>
      </c>
      <c r="I8" s="133"/>
      <c r="J8" s="132">
        <f>J7*Inputs!$C$7</f>
        <v>185242575</v>
      </c>
      <c r="K8" s="134">
        <f t="shared" si="0"/>
        <v>480566250</v>
      </c>
    </row>
    <row r="9" spans="2:11" ht="16.5" thickBot="1" x14ac:dyDescent="0.3">
      <c r="B9" s="126" t="s">
        <v>61</v>
      </c>
      <c r="C9" s="123">
        <v>0.2</v>
      </c>
      <c r="D9" s="128">
        <f>Inputs!C17-(Inputs!C17*C9)</f>
        <v>40</v>
      </c>
      <c r="E9" s="123">
        <v>0.2</v>
      </c>
      <c r="F9" s="135">
        <f>(F6*'Derived Data'!C4)-((F6*'Derived Data'!C4))*E9</f>
        <v>46</v>
      </c>
      <c r="G9" s="123">
        <v>0.2</v>
      </c>
      <c r="H9" s="135">
        <f>(H6*'Derived Data'!$C$4)-((H6*'Derived Data'!$C$4))*G9</f>
        <v>52.9</v>
      </c>
      <c r="I9" s="123">
        <v>0.2</v>
      </c>
      <c r="J9" s="135">
        <f>(J6*'Derived Data'!$C$4)-((J6*'Derived Data'!$C$4))*I9</f>
        <v>60.835000000000001</v>
      </c>
      <c r="K9" s="130">
        <f t="shared" si="0"/>
        <v>138.9</v>
      </c>
    </row>
    <row r="10" spans="2:11" ht="16.5" thickBot="1" x14ac:dyDescent="0.3">
      <c r="B10" s="136" t="s">
        <v>4</v>
      </c>
      <c r="C10" s="136"/>
      <c r="D10" s="132">
        <f>D9*Inputs!$C$6</f>
        <v>4000000</v>
      </c>
      <c r="E10" s="133"/>
      <c r="F10" s="132">
        <f>F9*Inputs!$C$6</f>
        <v>4600000</v>
      </c>
      <c r="G10" s="133"/>
      <c r="H10" s="132">
        <f>H9*Inputs!$C$6</f>
        <v>5290000</v>
      </c>
      <c r="I10" s="133"/>
      <c r="J10" s="132">
        <f>J9*Inputs!$C$6</f>
        <v>6083500</v>
      </c>
      <c r="K10" s="134">
        <f t="shared" si="0"/>
        <v>13890000</v>
      </c>
    </row>
    <row r="11" spans="2:11" ht="16.5" thickBot="1" x14ac:dyDescent="0.3">
      <c r="B11" s="126" t="s">
        <v>6</v>
      </c>
      <c r="C11" s="123">
        <v>0.2</v>
      </c>
      <c r="D11" s="132">
        <f>(Inputs!$C$8*Inputs!$C$18)-(Inputs!$C$8*Inputs!$C$18)*C11</f>
        <v>400000</v>
      </c>
      <c r="E11" s="123">
        <v>0.2</v>
      </c>
      <c r="F11" s="132">
        <f>(Inputs!$C$8*Inputs!$C$18)-(Inputs!$C$8*Inputs!$C$18)*E11</f>
        <v>400000</v>
      </c>
      <c r="G11" s="123">
        <v>0.2</v>
      </c>
      <c r="H11" s="132">
        <f>(Inputs!$C$8*Inputs!$C$18)-(Inputs!$C$8*Inputs!$C$18)*G11</f>
        <v>400000</v>
      </c>
      <c r="I11" s="123">
        <v>0.2</v>
      </c>
      <c r="J11" s="132">
        <f>(Inputs!$C$8*Inputs!$C$18)-(Inputs!$C$8*Inputs!$C$18)*I11</f>
        <v>400000</v>
      </c>
      <c r="K11" s="134">
        <f t="shared" si="0"/>
        <v>1200000</v>
      </c>
    </row>
    <row r="12" spans="2:11" ht="16.5" thickBot="1" x14ac:dyDescent="0.3">
      <c r="B12" s="137" t="s">
        <v>25</v>
      </c>
      <c r="C12" s="137"/>
      <c r="D12" s="138">
        <f>-(Inputs!$C$11*Inputs!$C$3)</f>
        <v>-20000000</v>
      </c>
      <c r="E12" s="137"/>
      <c r="F12" s="132">
        <f>-(Inputs!$C$11*Inputs!$C$3)</f>
        <v>-20000000</v>
      </c>
      <c r="G12" s="137"/>
      <c r="H12" s="138">
        <f>-(Inputs!$C$11*Inputs!$C$3)</f>
        <v>-20000000</v>
      </c>
      <c r="I12" s="137"/>
      <c r="J12" s="138">
        <f>-(Inputs!$C$11*Inputs!$C$3)</f>
        <v>-20000000</v>
      </c>
      <c r="K12" s="139">
        <f t="shared" si="0"/>
        <v>-60000000</v>
      </c>
    </row>
    <row r="13" spans="2:11" ht="18.75" thickBot="1" x14ac:dyDescent="0.3">
      <c r="B13" s="17" t="s">
        <v>29</v>
      </c>
      <c r="C13" s="17"/>
      <c r="D13" s="19">
        <f>((D6*'Derived Data'!$C$3)*Inputs!$C$7)+((D6*'Derived Data'!$C$4)*Inputs!$C$6)+(Inputs!$C$8*Inputs!$C$18)</f>
        <v>179500000</v>
      </c>
      <c r="E13" s="21"/>
      <c r="F13" s="19">
        <f>((F6*'Derived Data'!$C$3)*Inputs!$C$7)+((F6*'Derived Data'!$C$4)*Inputs!$C$6)+(Inputs!$C$8*Inputs!$C$18)</f>
        <v>206350000</v>
      </c>
      <c r="G13" s="21"/>
      <c r="H13" s="19">
        <f>((H6*'Derived Data'!$C$3)*Inputs!$C$7)+((H6*'Derived Data'!$C$4)*Inputs!$C$6)+(Inputs!$C$8*Inputs!$C$18)</f>
        <v>237227500</v>
      </c>
      <c r="I13" s="21"/>
      <c r="J13" s="19">
        <f>((J6*'Derived Data'!$C$3)*Inputs!$C$7)+((J6*'Derived Data'!$C$4)*Inputs!$C$6)+(Inputs!$C$8*Inputs!$C$18)</f>
        <v>272736625</v>
      </c>
      <c r="K13" s="13">
        <f t="shared" si="0"/>
        <v>623077500</v>
      </c>
    </row>
    <row r="14" spans="2:11" ht="18.75" thickBot="1" x14ac:dyDescent="0.3">
      <c r="B14" s="17" t="s">
        <v>28</v>
      </c>
      <c r="C14" s="17"/>
      <c r="D14" s="19">
        <f>D11+D10+D8+D12</f>
        <v>132300000</v>
      </c>
      <c r="E14" s="21"/>
      <c r="F14" s="19">
        <f>F11+F10+F8+F12</f>
        <v>145080000</v>
      </c>
      <c r="G14" s="21"/>
      <c r="H14" s="19">
        <f>H11+H10+H8+H12</f>
        <v>158276250</v>
      </c>
      <c r="I14" s="21"/>
      <c r="J14" s="19">
        <f>J11+J10+J8+J12</f>
        <v>171726075</v>
      </c>
      <c r="K14" s="13">
        <f t="shared" si="0"/>
        <v>435656250</v>
      </c>
    </row>
    <row r="15" spans="2:11" ht="18.75" thickBot="1" x14ac:dyDescent="0.3">
      <c r="B15" s="14" t="s">
        <v>30</v>
      </c>
      <c r="C15" s="14"/>
      <c r="D15" s="20">
        <f>D13-D14</f>
        <v>47200000</v>
      </c>
      <c r="E15" s="22"/>
      <c r="F15" s="20">
        <f>F13-F14</f>
        <v>61270000</v>
      </c>
      <c r="G15" s="22"/>
      <c r="H15" s="20">
        <f>H13-H14</f>
        <v>78951250</v>
      </c>
      <c r="I15" s="22"/>
      <c r="J15" s="20">
        <f>J13-J14</f>
        <v>101010550</v>
      </c>
      <c r="K15" s="15">
        <f t="shared" si="0"/>
        <v>187421250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workbookViewId="0">
      <selection activeCell="L7" sqref="L7"/>
    </sheetView>
  </sheetViews>
  <sheetFormatPr defaultRowHeight="15" x14ac:dyDescent="0.25"/>
  <cols>
    <col min="1" max="1" width="3.5703125" customWidth="1"/>
    <col min="2" max="2" width="33" bestFit="1" customWidth="1"/>
    <col min="3" max="3" width="12.140625" customWidth="1"/>
    <col min="4" max="4" width="11.85546875" customWidth="1"/>
    <col min="5" max="5" width="14" bestFit="1" customWidth="1"/>
    <col min="6" max="8" width="11.85546875" customWidth="1"/>
    <col min="9" max="9" width="13.85546875" bestFit="1" customWidth="1"/>
    <col min="10" max="10" width="5.140625" customWidth="1"/>
    <col min="11" max="11" width="24.5703125" customWidth="1"/>
    <col min="12" max="12" width="22" customWidth="1"/>
  </cols>
  <sheetData>
    <row r="1" spans="2:12" ht="23.25" x14ac:dyDescent="0.35">
      <c r="B1" s="77" t="s">
        <v>63</v>
      </c>
    </row>
    <row r="2" spans="2:12" ht="6" customHeight="1" thickBot="1" x14ac:dyDescent="0.3"/>
    <row r="3" spans="2:12" ht="19.5" thickBot="1" x14ac:dyDescent="0.35">
      <c r="B3" s="78" t="s">
        <v>64</v>
      </c>
      <c r="D3" s="159" t="s">
        <v>81</v>
      </c>
      <c r="E3" s="160"/>
      <c r="G3" s="159" t="s">
        <v>89</v>
      </c>
      <c r="H3" s="160"/>
      <c r="J3" t="s">
        <v>93</v>
      </c>
      <c r="K3" s="87">
        <v>15000</v>
      </c>
    </row>
    <row r="4" spans="2:12" ht="19.5" thickBot="1" x14ac:dyDescent="0.35">
      <c r="B4" s="79">
        <v>500</v>
      </c>
      <c r="C4" s="76"/>
      <c r="D4" s="83">
        <v>0</v>
      </c>
      <c r="E4" s="84">
        <v>0</v>
      </c>
      <c r="G4" s="120">
        <v>250000</v>
      </c>
      <c r="H4" s="81">
        <v>0.05</v>
      </c>
    </row>
    <row r="5" spans="2:12" ht="15.75" thickBot="1" x14ac:dyDescent="0.3">
      <c r="C5" s="76"/>
      <c r="D5" s="83">
        <v>500</v>
      </c>
      <c r="E5" s="84">
        <v>0</v>
      </c>
      <c r="G5" s="120">
        <v>500000</v>
      </c>
      <c r="H5" s="81">
        <v>0.1</v>
      </c>
    </row>
    <row r="6" spans="2:12" ht="18.75" x14ac:dyDescent="0.3">
      <c r="B6" s="78" t="s">
        <v>71</v>
      </c>
      <c r="C6" s="76"/>
      <c r="D6" s="83">
        <v>1000</v>
      </c>
      <c r="E6" s="84">
        <v>0.1</v>
      </c>
      <c r="G6" s="120">
        <v>1000000</v>
      </c>
      <c r="H6" s="81">
        <v>0.2</v>
      </c>
    </row>
    <row r="7" spans="2:12" ht="19.5" thickBot="1" x14ac:dyDescent="0.35">
      <c r="B7" s="100">
        <v>250000</v>
      </c>
      <c r="C7" s="76"/>
      <c r="D7" s="83">
        <v>2000</v>
      </c>
      <c r="E7" s="84">
        <v>0.15</v>
      </c>
      <c r="G7" s="120">
        <v>2000000</v>
      </c>
      <c r="H7" s="81">
        <v>0.4</v>
      </c>
    </row>
    <row r="8" spans="2:12" ht="15.75" thickBot="1" x14ac:dyDescent="0.3">
      <c r="C8" s="76"/>
      <c r="D8" s="83">
        <v>5000</v>
      </c>
      <c r="E8" s="84">
        <v>0.2</v>
      </c>
      <c r="G8" s="121">
        <v>5000000</v>
      </c>
      <c r="H8" s="82">
        <v>0.6</v>
      </c>
    </row>
    <row r="9" spans="2:12" ht="15.75" thickBot="1" x14ac:dyDescent="0.3">
      <c r="C9" s="76"/>
      <c r="D9" s="85">
        <v>10000</v>
      </c>
      <c r="E9" s="86">
        <v>0.3</v>
      </c>
      <c r="L9" s="66"/>
    </row>
    <row r="10" spans="2:12" ht="6.75" customHeight="1" thickBot="1" x14ac:dyDescent="0.3"/>
    <row r="11" spans="2:12" ht="19.5" thickBot="1" x14ac:dyDescent="0.35">
      <c r="B11" s="95" t="s">
        <v>65</v>
      </c>
      <c r="C11" s="96"/>
      <c r="D11" s="115" t="s">
        <v>10</v>
      </c>
      <c r="E11" s="115" t="s">
        <v>11</v>
      </c>
      <c r="F11" s="115" t="s">
        <v>12</v>
      </c>
      <c r="G11" s="115" t="s">
        <v>66</v>
      </c>
      <c r="H11" s="115" t="s">
        <v>67</v>
      </c>
      <c r="I11" s="116" t="s">
        <v>84</v>
      </c>
      <c r="K11" s="150" t="s">
        <v>104</v>
      </c>
      <c r="L11" s="116" t="s">
        <v>94</v>
      </c>
    </row>
    <row r="12" spans="2:12" x14ac:dyDescent="0.25">
      <c r="B12" s="80" t="s">
        <v>71</v>
      </c>
      <c r="C12" s="93">
        <f>B7</f>
        <v>250000</v>
      </c>
      <c r="D12" s="93">
        <f>C12</f>
        <v>250000</v>
      </c>
      <c r="E12" s="91"/>
      <c r="F12" s="91"/>
      <c r="G12" s="91"/>
      <c r="H12" s="91"/>
      <c r="I12" s="94">
        <f t="shared" ref="I12" si="0">SUM(D12:H12)</f>
        <v>250000</v>
      </c>
      <c r="K12" s="144" t="s">
        <v>100</v>
      </c>
      <c r="L12" s="146" t="s">
        <v>101</v>
      </c>
    </row>
    <row r="13" spans="2:12" ht="17.25" customHeight="1" x14ac:dyDescent="0.25">
      <c r="B13" s="89" t="s">
        <v>83</v>
      </c>
      <c r="C13" s="90">
        <v>15000</v>
      </c>
      <c r="D13" s="91"/>
      <c r="E13" s="91"/>
      <c r="F13" s="91"/>
      <c r="G13" s="91"/>
      <c r="H13" s="91"/>
      <c r="I13" s="94">
        <f>SUM(D13:H13)</f>
        <v>0</v>
      </c>
      <c r="K13" s="140"/>
      <c r="L13" s="141" t="s">
        <v>102</v>
      </c>
    </row>
    <row r="14" spans="2:12" ht="15.75" thickBot="1" x14ac:dyDescent="0.3">
      <c r="B14" s="80" t="s">
        <v>82</v>
      </c>
      <c r="C14" s="92">
        <f>VLOOKUP($B$4,Disc,2)</f>
        <v>0</v>
      </c>
      <c r="D14" s="93">
        <f>(C13*B4)-(C13*B4)*C14</f>
        <v>7500000</v>
      </c>
      <c r="E14" s="91"/>
      <c r="F14" s="91"/>
      <c r="G14" s="91"/>
      <c r="H14" s="91"/>
      <c r="I14" s="94">
        <f>SUM(D14:H14)</f>
        <v>7500000</v>
      </c>
      <c r="K14" s="145"/>
      <c r="L14" s="143" t="s">
        <v>103</v>
      </c>
    </row>
    <row r="15" spans="2:12" ht="16.5" thickBot="1" x14ac:dyDescent="0.3">
      <c r="B15" s="101" t="s">
        <v>70</v>
      </c>
      <c r="C15" s="106">
        <v>0.2</v>
      </c>
      <c r="D15" s="107"/>
      <c r="E15" s="107">
        <f>($C$13*$B$4)*$C$15</f>
        <v>1500000</v>
      </c>
      <c r="F15" s="107">
        <f>($C$13*$B$4)*$C$15</f>
        <v>1500000</v>
      </c>
      <c r="G15" s="107">
        <f>($C$13*$B$4)*$C$15</f>
        <v>1500000</v>
      </c>
      <c r="H15" s="107">
        <f>($C$13*$B$4)*$C$15</f>
        <v>1500000</v>
      </c>
      <c r="I15" s="108">
        <f>SUM(D15:H15)</f>
        <v>6000000</v>
      </c>
    </row>
    <row r="16" spans="2:12" ht="16.5" thickBot="1" x14ac:dyDescent="0.3">
      <c r="B16" s="101"/>
      <c r="C16" s="102"/>
      <c r="D16" s="102"/>
      <c r="E16" s="102"/>
      <c r="F16" s="102"/>
      <c r="G16" s="102"/>
      <c r="H16" s="103" t="s">
        <v>68</v>
      </c>
      <c r="I16" s="104">
        <f>SUM(I14:I15)</f>
        <v>13500000</v>
      </c>
    </row>
    <row r="17" spans="2:12" ht="6" customHeight="1" thickBot="1" x14ac:dyDescent="0.3">
      <c r="B17" s="97"/>
      <c r="C17" s="97"/>
      <c r="D17" s="97"/>
      <c r="E17" s="97"/>
      <c r="F17" s="97"/>
      <c r="G17" s="97"/>
      <c r="H17" s="97"/>
      <c r="I17" s="98"/>
      <c r="J17" s="99"/>
    </row>
    <row r="18" spans="2:12" ht="19.5" thickBot="1" x14ac:dyDescent="0.35">
      <c r="B18" s="95" t="s">
        <v>85</v>
      </c>
      <c r="C18" s="96"/>
      <c r="D18" s="115" t="s">
        <v>10</v>
      </c>
      <c r="E18" s="115" t="s">
        <v>11</v>
      </c>
      <c r="F18" s="115" t="s">
        <v>12</v>
      </c>
      <c r="G18" s="115" t="s">
        <v>66</v>
      </c>
      <c r="H18" s="115" t="s">
        <v>67</v>
      </c>
      <c r="I18" s="116" t="s">
        <v>84</v>
      </c>
      <c r="K18" s="147" t="s">
        <v>104</v>
      </c>
      <c r="L18" s="148" t="s">
        <v>94</v>
      </c>
    </row>
    <row r="19" spans="2:12" x14ac:dyDescent="0.25">
      <c r="B19" s="105" t="s">
        <v>71</v>
      </c>
      <c r="C19" s="109">
        <f>B7</f>
        <v>250000</v>
      </c>
      <c r="D19" s="109">
        <f>C19</f>
        <v>250000</v>
      </c>
      <c r="E19" s="88"/>
      <c r="F19" s="88"/>
      <c r="G19" s="88"/>
      <c r="H19" s="88"/>
      <c r="I19" s="110">
        <f t="shared" ref="I19" si="1">SUM(D19:H19)</f>
        <v>250000</v>
      </c>
      <c r="K19" s="156" t="s">
        <v>105</v>
      </c>
      <c r="L19" s="156" t="s">
        <v>97</v>
      </c>
    </row>
    <row r="20" spans="2:12" ht="16.5" thickBot="1" x14ac:dyDescent="0.3">
      <c r="B20" s="89" t="s">
        <v>69</v>
      </c>
      <c r="C20" s="90">
        <v>5000</v>
      </c>
      <c r="D20" s="91"/>
      <c r="E20" s="91"/>
      <c r="F20" s="91"/>
      <c r="G20" s="91"/>
      <c r="H20" s="91"/>
      <c r="I20" s="94">
        <f>SUM(D20:H20)</f>
        <v>0</v>
      </c>
      <c r="K20" s="158"/>
      <c r="L20" s="158"/>
    </row>
    <row r="21" spans="2:12" ht="15.75" thickBot="1" x14ac:dyDescent="0.3">
      <c r="B21" s="80" t="s">
        <v>82</v>
      </c>
      <c r="C21" s="92">
        <f>VLOOKUP($B$4,Disc,2)</f>
        <v>0</v>
      </c>
      <c r="D21" s="93">
        <f>($C$20*$B$4)-($C$20*$B$4)*$C$21</f>
        <v>2500000</v>
      </c>
      <c r="E21" s="93">
        <f>($C$20*$B$4)-($C$20*$B$4)*$C$21</f>
        <v>2500000</v>
      </c>
      <c r="F21" s="93">
        <f>($C$20*$B$4)-($C$20*$B$4)*$C$21</f>
        <v>2500000</v>
      </c>
      <c r="G21" s="93">
        <f>($C$20*$B$4)-($C$20*$B$4)*$C$21</f>
        <v>2500000</v>
      </c>
      <c r="H21" s="93">
        <f>($C$20*$B$4)-($C$20*$B$4)*$C$21</f>
        <v>2500000</v>
      </c>
      <c r="I21" s="94">
        <f>SUM(D21:H21)</f>
        <v>12500000</v>
      </c>
      <c r="K21" s="149" t="s">
        <v>96</v>
      </c>
      <c r="L21" s="142"/>
    </row>
    <row r="22" spans="2:12" ht="16.5" thickBot="1" x14ac:dyDescent="0.3">
      <c r="B22" s="111"/>
      <c r="C22" s="112"/>
      <c r="D22" s="112"/>
      <c r="E22" s="112"/>
      <c r="F22" s="112"/>
      <c r="G22" s="112"/>
      <c r="H22" s="113" t="s">
        <v>68</v>
      </c>
      <c r="I22" s="114">
        <f>SUM(I20:I21)</f>
        <v>12500000</v>
      </c>
    </row>
    <row r="23" spans="2:12" ht="6" customHeight="1" thickBot="1" x14ac:dyDescent="0.3">
      <c r="I23" s="93"/>
    </row>
    <row r="24" spans="2:12" ht="19.5" thickBot="1" x14ac:dyDescent="0.35">
      <c r="B24" s="95" t="s">
        <v>91</v>
      </c>
      <c r="C24" s="96"/>
      <c r="D24" s="115" t="s">
        <v>10</v>
      </c>
      <c r="E24" s="115" t="s">
        <v>11</v>
      </c>
      <c r="F24" s="115" t="s">
        <v>12</v>
      </c>
      <c r="G24" s="115" t="s">
        <v>66</v>
      </c>
      <c r="H24" s="115" t="s">
        <v>67</v>
      </c>
      <c r="I24" s="116" t="s">
        <v>84</v>
      </c>
      <c r="K24" s="150" t="s">
        <v>104</v>
      </c>
      <c r="L24" s="116" t="s">
        <v>94</v>
      </c>
    </row>
    <row r="25" spans="2:12" x14ac:dyDescent="0.25">
      <c r="B25" s="105" t="s">
        <v>71</v>
      </c>
      <c r="C25" s="109">
        <f>B7</f>
        <v>250000</v>
      </c>
      <c r="D25" s="109">
        <f>C25</f>
        <v>250000</v>
      </c>
      <c r="E25" s="88"/>
      <c r="F25" s="88"/>
      <c r="G25" s="88"/>
      <c r="H25" s="88"/>
      <c r="I25" s="110">
        <f>D25</f>
        <v>250000</v>
      </c>
      <c r="K25" s="144" t="s">
        <v>98</v>
      </c>
      <c r="L25" s="156" t="s">
        <v>99</v>
      </c>
    </row>
    <row r="26" spans="2:12" ht="25.5" x14ac:dyDescent="0.25">
      <c r="B26" s="80" t="s">
        <v>88</v>
      </c>
      <c r="C26" s="93">
        <v>1000000</v>
      </c>
      <c r="D26" s="93">
        <f>C26</f>
        <v>1000000</v>
      </c>
      <c r="E26" s="91"/>
      <c r="F26" s="91"/>
      <c r="G26" s="91"/>
      <c r="H26" s="91"/>
      <c r="I26" s="94">
        <f>SUM(D26:H26)</f>
        <v>1000000</v>
      </c>
      <c r="K26" s="140" t="s">
        <v>95</v>
      </c>
      <c r="L26" s="157"/>
    </row>
    <row r="27" spans="2:12" ht="16.5" thickBot="1" x14ac:dyDescent="0.3">
      <c r="B27" s="89" t="s">
        <v>69</v>
      </c>
      <c r="C27" s="90">
        <f>C20</f>
        <v>5000</v>
      </c>
      <c r="D27" s="91"/>
      <c r="E27" s="91"/>
      <c r="F27" s="91"/>
      <c r="G27" s="91"/>
      <c r="H27" s="91"/>
      <c r="I27" s="94"/>
      <c r="K27" s="145" t="s">
        <v>96</v>
      </c>
      <c r="L27" s="158"/>
    </row>
    <row r="28" spans="2:12" x14ac:dyDescent="0.25">
      <c r="B28" s="80" t="s">
        <v>82</v>
      </c>
      <c r="C28" s="92">
        <f>VLOOKUP($B$4,Disc,2)</f>
        <v>0</v>
      </c>
      <c r="D28" s="93">
        <f>($C$20*$B$4)-($C$20*$B$4)*$C$21</f>
        <v>2500000</v>
      </c>
      <c r="E28" s="93">
        <f>($C$20*$B$4)-($C$20*$B$4)*$C$21</f>
        <v>2500000</v>
      </c>
      <c r="F28" s="93">
        <f>($C$20*$B$4)-($C$20*$B$4)*$C$21</f>
        <v>2500000</v>
      </c>
      <c r="G28" s="93">
        <f>($C$20*$B$4)-($C$20*$B$4)*$C$21</f>
        <v>2500000</v>
      </c>
      <c r="H28" s="93">
        <f>($C$20*$B$4)-($C$20*$B$4)*$C$21</f>
        <v>2500000</v>
      </c>
      <c r="I28" s="94"/>
    </row>
    <row r="29" spans="2:12" x14ac:dyDescent="0.25">
      <c r="B29" s="80" t="s">
        <v>90</v>
      </c>
      <c r="C29" s="92">
        <f>VLOOKUP(C26,capex,2)</f>
        <v>0.2</v>
      </c>
      <c r="D29" s="93">
        <f>$D$28*$C$29</f>
        <v>500000</v>
      </c>
      <c r="E29" s="93">
        <f t="shared" ref="E29:H29" si="2">$D$28*$C$29</f>
        <v>500000</v>
      </c>
      <c r="F29" s="93">
        <f t="shared" si="2"/>
        <v>500000</v>
      </c>
      <c r="G29" s="93">
        <f t="shared" si="2"/>
        <v>500000</v>
      </c>
      <c r="H29" s="93">
        <f t="shared" si="2"/>
        <v>500000</v>
      </c>
      <c r="I29" s="94"/>
    </row>
    <row r="30" spans="2:12" ht="15.75" thickBot="1" x14ac:dyDescent="0.3">
      <c r="B30" s="80" t="s">
        <v>92</v>
      </c>
      <c r="C30" s="92"/>
      <c r="D30" s="93">
        <f>D28-D29</f>
        <v>2000000</v>
      </c>
      <c r="E30" s="93">
        <f t="shared" ref="E30:H30" si="3">E28-E29</f>
        <v>2000000</v>
      </c>
      <c r="F30" s="93">
        <f t="shared" si="3"/>
        <v>2000000</v>
      </c>
      <c r="G30" s="93">
        <f t="shared" si="3"/>
        <v>2000000</v>
      </c>
      <c r="H30" s="93">
        <f t="shared" si="3"/>
        <v>2000000</v>
      </c>
      <c r="I30" s="94">
        <f>SUM(D30:H30)</f>
        <v>10000000</v>
      </c>
    </row>
    <row r="31" spans="2:12" ht="16.5" thickBot="1" x14ac:dyDescent="0.3">
      <c r="B31" s="111"/>
      <c r="C31" s="112"/>
      <c r="D31" s="112"/>
      <c r="E31" s="112"/>
      <c r="F31" s="112"/>
      <c r="G31" s="112"/>
      <c r="H31" s="113" t="s">
        <v>68</v>
      </c>
      <c r="I31" s="114">
        <f>SUM(I25:I30)</f>
        <v>11250000</v>
      </c>
      <c r="K31" s="87">
        <f>I22-I31</f>
        <v>1250000</v>
      </c>
      <c r="L31" s="119">
        <f>I31/I22</f>
        <v>0.9</v>
      </c>
    </row>
    <row r="34" spans="2:4" x14ac:dyDescent="0.25">
      <c r="B34" t="s">
        <v>73</v>
      </c>
    </row>
    <row r="35" spans="2:4" x14ac:dyDescent="0.25">
      <c r="B35" t="s">
        <v>86</v>
      </c>
    </row>
    <row r="36" spans="2:4" x14ac:dyDescent="0.25">
      <c r="B36" t="s">
        <v>87</v>
      </c>
    </row>
    <row r="37" spans="2:4" x14ac:dyDescent="0.25">
      <c r="B37" t="s">
        <v>74</v>
      </c>
      <c r="D37" t="s">
        <v>75</v>
      </c>
    </row>
    <row r="38" spans="2:4" x14ac:dyDescent="0.25">
      <c r="B38" t="s">
        <v>76</v>
      </c>
      <c r="D38" t="s">
        <v>72</v>
      </c>
    </row>
    <row r="39" spans="2:4" x14ac:dyDescent="0.25">
      <c r="B39">
        <v>100</v>
      </c>
      <c r="D39" t="s">
        <v>77</v>
      </c>
    </row>
    <row r="41" spans="2:4" x14ac:dyDescent="0.25">
      <c r="C41">
        <v>400</v>
      </c>
    </row>
  </sheetData>
  <mergeCells count="5">
    <mergeCell ref="L25:L27"/>
    <mergeCell ref="K19:K20"/>
    <mergeCell ref="L19:L20"/>
    <mergeCell ref="D3:E3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G10"/>
  <sheetViews>
    <sheetView workbookViewId="0">
      <selection activeCell="G4" sqref="G4:G21"/>
    </sheetView>
  </sheetViews>
  <sheetFormatPr defaultRowHeight="15" x14ac:dyDescent="0.25"/>
  <cols>
    <col min="7" max="7" width="15.28515625" bestFit="1" customWidth="1"/>
  </cols>
  <sheetData>
    <row r="8" spans="7:7" x14ac:dyDescent="0.25">
      <c r="G8" s="117"/>
    </row>
    <row r="10" spans="7:7" x14ac:dyDescent="0.25">
      <c r="G10" s="1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Inputs</vt:lpstr>
      <vt:lpstr>Derived Data</vt:lpstr>
      <vt:lpstr>3 Year model</vt:lpstr>
      <vt:lpstr>Pricing Model</vt:lpstr>
      <vt:lpstr>Sheet2</vt:lpstr>
      <vt:lpstr>capex</vt:lpstr>
      <vt:lpstr>Disc</vt:lpstr>
    </vt:vector>
  </TitlesOfParts>
  <Company>Cambridge Consultants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Drummond</dc:creator>
  <cp:lastModifiedBy>Warren Drummond</cp:lastModifiedBy>
  <dcterms:created xsi:type="dcterms:W3CDTF">2015-12-03T15:12:37Z</dcterms:created>
  <dcterms:modified xsi:type="dcterms:W3CDTF">2016-03-09T20:03:47Z</dcterms:modified>
</cp:coreProperties>
</file>