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5d037862bbfb09bd/"/>
    </mc:Choice>
  </mc:AlternateContent>
  <xr:revisionPtr revIDLastSave="3162" documentId="8_{68134D3B-9617-4714-8047-448A06CEB694}" xr6:coauthVersionLast="47" xr6:coauthVersionMax="47" xr10:uidLastSave="{9A65811F-91F8-4F04-BCEA-3A4B4B220BB1}"/>
  <bookViews>
    <workbookView xWindow="-105" yWindow="0" windowWidth="24675" windowHeight="20985" firstSheet="1" activeTab="1" xr2:uid="{00000000-000D-0000-FFFF-FFFF00000000}"/>
  </bookViews>
  <sheets>
    <sheet name="Cost_Check" sheetId="1" r:id="rId1"/>
    <sheet name="Project_Cost" sheetId="6" r:id="rId2"/>
    <sheet name="Fee_Matrix" sheetId="2" r:id="rId3"/>
    <sheet name="Sheet1" sheetId="8" r:id="rId4"/>
    <sheet name="Phase_Billing" sheetId="3" r:id="rId5"/>
    <sheet name="Contract_Clauses" sheetId="4" r:id="rId6"/>
    <sheet name="Cost_Ranges" sheetId="5" r:id="rId7"/>
    <sheet name="Engineering_Costs" sheetId="7" r:id="rId8"/>
  </sheets>
  <definedNames>
    <definedName name="_xlnm._FilterDatabase" localSheetId="7" hidden="1">Engineering_Costs!$A$1:$I$68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1" i="6" l="1"/>
  <c r="B142" i="6"/>
  <c r="B144" i="6" s="1"/>
  <c r="C113" i="6"/>
  <c r="D113" i="6" s="1"/>
  <c r="E113" i="6" s="1"/>
  <c r="B141" i="6"/>
  <c r="G135" i="6"/>
  <c r="B168" i="6"/>
  <c r="C136" i="6"/>
  <c r="C138" i="6" s="1"/>
  <c r="C137" i="6" s="1"/>
  <c r="D136" i="6"/>
  <c r="D138" i="6" s="1"/>
  <c r="D137" i="6" s="1"/>
  <c r="E136" i="6"/>
  <c r="E138" i="6" s="1"/>
  <c r="E137" i="6" s="1"/>
  <c r="F136" i="6"/>
  <c r="F138" i="6" s="1"/>
  <c r="F137" i="6" s="1"/>
  <c r="B136" i="6"/>
  <c r="B138" i="6" s="1"/>
  <c r="B137" i="6" s="1"/>
  <c r="G174" i="6"/>
  <c r="G175" i="6"/>
  <c r="G176" i="6"/>
  <c r="G177" i="6"/>
  <c r="G178" i="6"/>
  <c r="G173" i="6"/>
  <c r="C179" i="6"/>
  <c r="D179" i="6"/>
  <c r="E179" i="6"/>
  <c r="F179" i="6"/>
  <c r="B179" i="6"/>
  <c r="F131" i="6"/>
  <c r="E131" i="6"/>
  <c r="D131" i="6"/>
  <c r="C131" i="6"/>
  <c r="B131" i="6"/>
  <c r="G130" i="6"/>
  <c r="G131" i="6" s="1"/>
  <c r="D76" i="2"/>
  <c r="B58" i="2"/>
  <c r="C112" i="6"/>
  <c r="D112" i="6" s="1"/>
  <c r="E112" i="6" s="1"/>
  <c r="F86" i="2"/>
  <c r="G86" i="2"/>
  <c r="B19" i="6"/>
  <c r="B20" i="6"/>
  <c r="B56" i="2"/>
  <c r="C56" i="2"/>
  <c r="G136" i="6" l="1"/>
  <c r="G138" i="6" s="1"/>
  <c r="F112" i="6" s="1"/>
  <c r="G179" i="6"/>
  <c r="B143" i="6"/>
  <c r="G137" i="6" l="1"/>
  <c r="F119" i="6"/>
  <c r="F120" i="6"/>
  <c r="F122" i="6"/>
  <c r="F113" i="6"/>
  <c r="D41" i="2" l="1"/>
  <c r="G62" i="2" l="1"/>
  <c r="I62" i="2"/>
  <c r="J62" i="2"/>
  <c r="F62" i="2"/>
  <c r="L60" i="2" l="1"/>
  <c r="L62" i="2" s="1"/>
  <c r="K62" i="2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2" i="7"/>
  <c r="F67" i="2" l="1"/>
  <c r="M83" i="2"/>
  <c r="M79" i="2"/>
  <c r="M80" i="2"/>
  <c r="M81" i="2"/>
  <c r="M82" i="2"/>
  <c r="M78" i="2"/>
  <c r="I97" i="2"/>
  <c r="J86" i="2"/>
  <c r="I86" i="2"/>
  <c r="H86" i="2"/>
  <c r="J97" i="2"/>
  <c r="H97" i="2"/>
  <c r="F97" i="2"/>
  <c r="G97" i="2"/>
  <c r="K83" i="2"/>
  <c r="K80" i="2"/>
  <c r="K81" i="2"/>
  <c r="B30" i="2"/>
  <c r="D40" i="2" s="1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I20" i="7"/>
  <c r="H20" i="7"/>
  <c r="B18" i="6"/>
  <c r="B29" i="2"/>
  <c r="B37" i="6" l="1"/>
  <c r="B28" i="6"/>
  <c r="B29" i="6" s="1"/>
  <c r="B22" i="6"/>
  <c r="B23" i="6" s="1"/>
  <c r="N80" i="2"/>
  <c r="N81" i="2"/>
  <c r="N82" i="2"/>
  <c r="N83" i="2"/>
  <c r="N79" i="2"/>
  <c r="N78" i="2"/>
  <c r="D78" i="2"/>
  <c r="G90" i="2" s="1"/>
  <c r="D84" i="2"/>
  <c r="E96" i="2" s="1"/>
  <c r="D81" i="2"/>
  <c r="D77" i="2"/>
  <c r="D82" i="2"/>
  <c r="D80" i="2"/>
  <c r="D83" i="2"/>
  <c r="D79" i="2"/>
  <c r="K2" i="5"/>
  <c r="K4" i="5"/>
  <c r="K5" i="5"/>
  <c r="K6" i="5"/>
  <c r="K7" i="5"/>
  <c r="K8" i="5"/>
  <c r="K9" i="5"/>
  <c r="K10" i="5"/>
  <c r="K11" i="5"/>
  <c r="K12" i="5"/>
  <c r="K13" i="5"/>
  <c r="K3" i="5"/>
  <c r="D4" i="1"/>
  <c r="D3" i="1"/>
  <c r="D2" i="1"/>
  <c r="C4" i="1"/>
  <c r="C3" i="1"/>
  <c r="C2" i="1"/>
  <c r="F40" i="2"/>
  <c r="B31" i="2"/>
  <c r="F41" i="2"/>
  <c r="P67" i="2"/>
  <c r="P66" i="2"/>
  <c r="Q67" i="2" s="1"/>
  <c r="V70" i="2"/>
  <c r="U70" i="2"/>
  <c r="T70" i="2"/>
  <c r="S70" i="2"/>
  <c r="R70" i="2"/>
  <c r="Q70" i="2"/>
  <c r="E66" i="2"/>
  <c r="E67" i="2"/>
  <c r="G66" i="2"/>
  <c r="H66" i="2"/>
  <c r="I66" i="2"/>
  <c r="J66" i="2"/>
  <c r="G67" i="2"/>
  <c r="I67" i="2"/>
  <c r="J67" i="2"/>
  <c r="F66" i="2"/>
  <c r="E90" i="2"/>
  <c r="E89" i="2"/>
  <c r="E86" i="2"/>
  <c r="C86" i="2"/>
  <c r="B86" i="2"/>
  <c r="K82" i="2"/>
  <c r="K79" i="2"/>
  <c r="K78" i="2"/>
  <c r="K77" i="2"/>
  <c r="C28" i="2"/>
  <c r="B28" i="2"/>
  <c r="H90" i="2" l="1"/>
  <c r="J90" i="2"/>
  <c r="I90" i="2"/>
  <c r="F90" i="2"/>
  <c r="J96" i="2"/>
  <c r="F96" i="2"/>
  <c r="H96" i="2"/>
  <c r="G96" i="2"/>
  <c r="I96" i="2"/>
  <c r="E91" i="2"/>
  <c r="E92" i="2"/>
  <c r="E93" i="2"/>
  <c r="E95" i="2"/>
  <c r="E94" i="2"/>
  <c r="J95" i="2"/>
  <c r="F95" i="2"/>
  <c r="H95" i="2"/>
  <c r="G95" i="2"/>
  <c r="I95" i="2"/>
  <c r="I91" i="2"/>
  <c r="H91" i="2"/>
  <c r="G91" i="2"/>
  <c r="F91" i="2"/>
  <c r="J91" i="2"/>
  <c r="J94" i="2"/>
  <c r="F94" i="2"/>
  <c r="I94" i="2"/>
  <c r="H94" i="2"/>
  <c r="G94" i="2"/>
  <c r="J89" i="2"/>
  <c r="F89" i="2"/>
  <c r="I89" i="2"/>
  <c r="H89" i="2"/>
  <c r="G89" i="2"/>
  <c r="G92" i="2"/>
  <c r="F92" i="2"/>
  <c r="H92" i="2"/>
  <c r="I92" i="2"/>
  <c r="J92" i="2"/>
  <c r="F93" i="2"/>
  <c r="J93" i="2"/>
  <c r="I93" i="2"/>
  <c r="H93" i="2"/>
  <c r="G93" i="2"/>
  <c r="V67" i="2"/>
  <c r="U67" i="2"/>
  <c r="T67" i="2"/>
  <c r="S67" i="2"/>
  <c r="R67" i="2"/>
  <c r="U66" i="2"/>
  <c r="V66" i="2"/>
  <c r="T66" i="2"/>
  <c r="S66" i="2"/>
  <c r="Q66" i="2"/>
  <c r="Q68" i="2" s="1"/>
  <c r="Q65" i="2" s="1"/>
  <c r="R66" i="2"/>
  <c r="E68" i="2"/>
  <c r="E65" i="2" s="1"/>
  <c r="J68" i="2"/>
  <c r="J65" i="2" s="1"/>
  <c r="I68" i="2"/>
  <c r="I65" i="2" s="1"/>
  <c r="G68" i="2"/>
  <c r="G65" i="2" s="1"/>
  <c r="K66" i="2"/>
  <c r="F68" i="2"/>
  <c r="F65" i="2" s="1"/>
  <c r="L96" i="2"/>
  <c r="E97" i="2"/>
  <c r="B57" i="2"/>
  <c r="O93" i="2" l="1"/>
  <c r="O95" i="2"/>
  <c r="E113" i="2"/>
  <c r="F113" i="2"/>
  <c r="O90" i="2"/>
  <c r="R90" i="2"/>
  <c r="P92" i="2"/>
  <c r="T68" i="2"/>
  <c r="T65" i="2" s="1"/>
  <c r="T69" i="2" s="1"/>
  <c r="R94" i="2"/>
  <c r="S95" i="2"/>
  <c r="S92" i="2"/>
  <c r="R92" i="2"/>
  <c r="S94" i="2"/>
  <c r="S91" i="2"/>
  <c r="P91" i="2"/>
  <c r="O96" i="2"/>
  <c r="O97" i="2"/>
  <c r="O91" i="2"/>
  <c r="S96" i="2"/>
  <c r="S97" i="2"/>
  <c r="R91" i="2"/>
  <c r="O94" i="2"/>
  <c r="O92" i="2"/>
  <c r="R97" i="2"/>
  <c r="R96" i="2"/>
  <c r="R95" i="2"/>
  <c r="G69" i="2"/>
  <c r="P96" i="2"/>
  <c r="P97" i="2"/>
  <c r="P90" i="2"/>
  <c r="R93" i="2"/>
  <c r="P95" i="2"/>
  <c r="P93" i="2"/>
  <c r="S68" i="2"/>
  <c r="S65" i="2" s="1"/>
  <c r="S93" i="2"/>
  <c r="P94" i="2"/>
  <c r="S90" i="2"/>
  <c r="K95" i="2"/>
  <c r="L95" i="2" s="1"/>
  <c r="K93" i="2"/>
  <c r="L93" i="2" s="1"/>
  <c r="K92" i="2"/>
  <c r="L92" i="2" s="1"/>
  <c r="W67" i="2"/>
  <c r="V68" i="2"/>
  <c r="V65" i="2" s="1"/>
  <c r="V69" i="2" s="1"/>
  <c r="U68" i="2"/>
  <c r="U65" i="2" s="1"/>
  <c r="U69" i="2" s="1"/>
  <c r="W66" i="2"/>
  <c r="Q69" i="2"/>
  <c r="R68" i="2"/>
  <c r="R65" i="2" s="1"/>
  <c r="R69" i="2" s="1"/>
  <c r="N90" i="2"/>
  <c r="J69" i="2"/>
  <c r="N89" i="2"/>
  <c r="I69" i="2"/>
  <c r="N94" i="2"/>
  <c r="N97" i="2"/>
  <c r="N91" i="2"/>
  <c r="N96" i="2"/>
  <c r="F69" i="2"/>
  <c r="L97" i="2"/>
  <c r="E98" i="2"/>
  <c r="D74" i="2"/>
  <c r="D75" i="2" s="1"/>
  <c r="K86" i="2"/>
  <c r="W68" i="2" l="1"/>
  <c r="S69" i="2"/>
  <c r="V95" i="2"/>
  <c r="W95" i="2" s="1"/>
  <c r="V92" i="2"/>
  <c r="W92" i="2" s="1"/>
  <c r="V93" i="2"/>
  <c r="W93" i="2" s="1"/>
  <c r="V96" i="2"/>
  <c r="W96" i="2" s="1"/>
  <c r="W65" i="2"/>
  <c r="V97" i="2"/>
  <c r="W97" i="2" s="1"/>
  <c r="B108" i="2"/>
  <c r="W69" i="2" l="1"/>
  <c r="N101" i="2"/>
  <c r="P89" i="2" l="1"/>
  <c r="R89" i="2"/>
  <c r="S89" i="2"/>
  <c r="D86" i="2"/>
  <c r="V91" i="2" l="1"/>
  <c r="W91" i="2" s="1"/>
  <c r="V94" i="2"/>
  <c r="W94" i="2" s="1"/>
  <c r="V89" i="2"/>
  <c r="W89" i="2" s="1"/>
  <c r="V90" i="2"/>
  <c r="W90" i="2" s="1"/>
  <c r="O89" i="2"/>
  <c r="J98" i="2"/>
  <c r="J99" i="2" s="1"/>
  <c r="F98" i="2"/>
  <c r="F99" i="2" s="1"/>
  <c r="K89" i="2"/>
  <c r="L89" i="2" s="1"/>
  <c r="K94" i="2"/>
  <c r="L94" i="2" s="1"/>
  <c r="I98" i="2"/>
  <c r="I99" i="2" s="1"/>
  <c r="H98" i="2"/>
  <c r="H99" i="2" s="1"/>
  <c r="G98" i="2"/>
  <c r="G99" i="2" s="1"/>
  <c r="K91" i="2"/>
  <c r="L91" i="2" s="1"/>
  <c r="K90" i="2"/>
  <c r="L90" i="2" s="1"/>
  <c r="F4" i="1"/>
  <c r="E4" i="1"/>
  <c r="F3" i="1"/>
  <c r="E3" i="1"/>
  <c r="F2" i="1"/>
  <c r="F5" i="1" s="1"/>
  <c r="E2" i="1"/>
  <c r="E5" i="1" s="1"/>
  <c r="L98" i="2" l="1"/>
  <c r="B36" i="6"/>
  <c r="E6" i="1"/>
  <c r="V99" i="2"/>
  <c r="V100" i="2"/>
  <c r="W100" i="2" s="1"/>
  <c r="P99" i="2"/>
  <c r="P100" i="2"/>
  <c r="R99" i="2"/>
  <c r="R100" i="2"/>
  <c r="Q99" i="2"/>
  <c r="O100" i="2"/>
  <c r="O99" i="2"/>
  <c r="S100" i="2"/>
  <c r="S99" i="2"/>
  <c r="V98" i="2"/>
  <c r="K98" i="2"/>
  <c r="B53" i="6"/>
  <c r="C53" i="6" s="1"/>
  <c r="B38" i="6"/>
  <c r="B54" i="6" s="1"/>
  <c r="C54" i="6" s="1"/>
  <c r="B52" i="6" l="1"/>
  <c r="B55" i="6"/>
  <c r="C55" i="6" s="1"/>
  <c r="B25" i="6"/>
  <c r="B33" i="6" s="1"/>
  <c r="B60" i="6"/>
  <c r="C60" i="6" s="1"/>
  <c r="B59" i="6"/>
  <c r="C59" i="6" s="1"/>
  <c r="B58" i="6"/>
  <c r="C58" i="6" s="1"/>
  <c r="B57" i="6"/>
  <c r="C57" i="6" s="1"/>
  <c r="B56" i="6"/>
  <c r="C56" i="6" s="1"/>
  <c r="O101" i="2"/>
  <c r="S101" i="2"/>
  <c r="P101" i="2"/>
  <c r="R101" i="2"/>
  <c r="V102" i="2"/>
  <c r="V103" i="2" s="1"/>
  <c r="V101" i="2"/>
  <c r="W99" i="2"/>
  <c r="W101" i="2" s="1"/>
  <c r="W98" i="2"/>
  <c r="S98" i="2"/>
  <c r="S102" i="2" s="1"/>
  <c r="S103" i="2" s="1"/>
  <c r="T99" i="2"/>
  <c r="N98" i="2"/>
  <c r="N102" i="2" s="1"/>
  <c r="P98" i="2"/>
  <c r="P102" i="2" s="1"/>
  <c r="P103" i="2" s="1"/>
  <c r="R98" i="2"/>
  <c r="R102" i="2" s="1"/>
  <c r="R103" i="2" s="1"/>
  <c r="O98" i="2"/>
  <c r="O102" i="2" s="1"/>
  <c r="O103" i="2" s="1"/>
  <c r="K99" i="2"/>
  <c r="C52" i="6" l="1"/>
  <c r="B63" i="6"/>
  <c r="B41" i="6"/>
  <c r="B79" i="6" s="1"/>
  <c r="B45" i="6"/>
  <c r="B67" i="6" s="1"/>
  <c r="B49" i="6"/>
  <c r="B71" i="6" s="1"/>
  <c r="B95" i="6"/>
  <c r="B91" i="6"/>
  <c r="B87" i="6"/>
  <c r="B83" i="6"/>
  <c r="B26" i="6"/>
  <c r="B34" i="6" s="1"/>
  <c r="B64" i="6" s="1"/>
  <c r="U99" i="2"/>
  <c r="W102" i="2"/>
  <c r="W103" i="2" s="1"/>
  <c r="B1" i="3"/>
  <c r="B32" i="6" l="1"/>
  <c r="B75" i="6"/>
  <c r="B50" i="6"/>
  <c r="D4" i="3"/>
  <c r="D5" i="3"/>
  <c r="D8" i="3"/>
  <c r="D9" i="3"/>
  <c r="D7" i="3"/>
  <c r="D6" i="3"/>
  <c r="B46" i="6" l="1"/>
  <c r="B68" i="6" s="1"/>
  <c r="B42" i="6"/>
  <c r="B62" i="6"/>
  <c r="B88" i="6"/>
  <c r="B86" i="6" s="1"/>
  <c r="B96" i="6"/>
  <c r="B94" i="6" s="1"/>
  <c r="B92" i="6"/>
  <c r="B90" i="6" s="1"/>
  <c r="B44" i="6"/>
  <c r="B66" i="6"/>
  <c r="B5" i="2" s="1"/>
  <c r="B48" i="6"/>
  <c r="B72" i="6"/>
  <c r="B70" i="6" s="1"/>
  <c r="B6" i="2" s="1"/>
  <c r="D10" i="3"/>
  <c r="B80" i="6" l="1"/>
  <c r="B78" i="6" s="1"/>
  <c r="E5" i="2" s="1"/>
  <c r="B76" i="6"/>
  <c r="B74" i="6" s="1"/>
  <c r="B84" i="6"/>
  <c r="B82" i="6" s="1"/>
  <c r="E6" i="2" s="1"/>
  <c r="B110" i="6"/>
  <c r="B40" i="6"/>
  <c r="E9" i="2"/>
  <c r="E8" i="2"/>
  <c r="E7" i="2"/>
  <c r="B98" i="6" l="1"/>
  <c r="B4" i="2"/>
  <c r="B10" i="2" s="1"/>
  <c r="E4" i="2"/>
  <c r="B45" i="2" s="1"/>
  <c r="B43" i="2"/>
  <c r="D43" i="2" s="1"/>
  <c r="B48" i="2"/>
  <c r="E48" i="2" s="1"/>
  <c r="C48" i="2" s="1"/>
  <c r="B47" i="2"/>
  <c r="E47" i="2" s="1"/>
  <c r="B49" i="2"/>
  <c r="D49" i="2" s="1"/>
  <c r="B50" i="2"/>
  <c r="E50" i="2" s="1"/>
  <c r="C50" i="2" s="1"/>
  <c r="B46" i="2"/>
  <c r="D46" i="2" s="1"/>
  <c r="B42" i="2" l="1"/>
  <c r="B99" i="6"/>
  <c r="B100" i="6"/>
  <c r="E3" i="2"/>
  <c r="E45" i="2"/>
  <c r="C45" i="2" s="1"/>
  <c r="C43" i="2"/>
  <c r="B44" i="2"/>
  <c r="D44" i="2" s="1"/>
  <c r="C44" i="2" s="1"/>
  <c r="C46" i="2"/>
  <c r="F46" i="2"/>
  <c r="C49" i="2"/>
  <c r="F49" i="2"/>
  <c r="C47" i="2"/>
  <c r="F43" i="2"/>
  <c r="F55" i="2" s="1"/>
  <c r="B115" i="6" l="1"/>
  <c r="D115" i="6" s="1"/>
  <c r="B116" i="6"/>
  <c r="D116" i="6" s="1"/>
  <c r="B114" i="6"/>
  <c r="D114" i="6" s="1"/>
  <c r="B120" i="6"/>
  <c r="D120" i="6" s="1"/>
  <c r="B121" i="6"/>
  <c r="D121" i="6" s="1"/>
  <c r="B119" i="6"/>
  <c r="D119" i="6" s="1"/>
  <c r="B122" i="6"/>
  <c r="D122" i="6" s="1"/>
  <c r="B118" i="6"/>
  <c r="D118" i="6" s="1"/>
  <c r="B117" i="6"/>
  <c r="D117" i="6" s="1"/>
  <c r="E51" i="2"/>
  <c r="F44" i="2"/>
  <c r="F56" i="2" s="1"/>
  <c r="B147" i="6" l="1"/>
  <c r="C122" i="6"/>
  <c r="H122" i="6"/>
  <c r="G122" i="6" s="1"/>
  <c r="B156" i="6"/>
  <c r="C156" i="6" s="1"/>
  <c r="E156" i="6" s="1"/>
  <c r="C120" i="6"/>
  <c r="H120" i="6"/>
  <c r="G120" i="6" s="1"/>
  <c r="B154" i="6"/>
  <c r="C154" i="6" s="1"/>
  <c r="E154" i="6" s="1"/>
  <c r="E114" i="6"/>
  <c r="C114" i="6"/>
  <c r="B148" i="6"/>
  <c r="C148" i="6" s="1"/>
  <c r="D148" i="6" s="1"/>
  <c r="B146" i="6"/>
  <c r="C147" i="6"/>
  <c r="D147" i="6" s="1"/>
  <c r="H119" i="6"/>
  <c r="C119" i="6"/>
  <c r="B153" i="6"/>
  <c r="C153" i="6" s="1"/>
  <c r="E153" i="6" s="1"/>
  <c r="B151" i="6"/>
  <c r="C151" i="6" s="1"/>
  <c r="D151" i="6" s="1"/>
  <c r="C117" i="6"/>
  <c r="E117" i="6"/>
  <c r="F117" i="6" s="1"/>
  <c r="E118" i="6"/>
  <c r="F118" i="6" s="1"/>
  <c r="C118" i="6"/>
  <c r="B152" i="6"/>
  <c r="C152" i="6" s="1"/>
  <c r="D152" i="6" s="1"/>
  <c r="E121" i="6"/>
  <c r="F121" i="6" s="1"/>
  <c r="C121" i="6"/>
  <c r="B155" i="6"/>
  <c r="C155" i="6" s="1"/>
  <c r="D155" i="6" s="1"/>
  <c r="E115" i="6"/>
  <c r="F115" i="6" s="1"/>
  <c r="C115" i="6"/>
  <c r="B149" i="6"/>
  <c r="C149" i="6" s="1"/>
  <c r="D149" i="6" s="1"/>
  <c r="C116" i="6"/>
  <c r="E116" i="6"/>
  <c r="F116" i="6" s="1"/>
  <c r="B150" i="6"/>
  <c r="C150" i="6" s="1"/>
  <c r="D150" i="6" s="1"/>
  <c r="B7" i="2"/>
  <c r="E157" i="6" l="1"/>
  <c r="H123" i="6"/>
  <c r="G119" i="6"/>
  <c r="G123" i="6" s="1"/>
  <c r="F114" i="6"/>
  <c r="E123" i="6"/>
  <c r="E200" i="6" s="1"/>
  <c r="C146" i="6"/>
  <c r="D146" i="6" s="1"/>
  <c r="D157" i="6" s="1"/>
  <c r="C163" i="6" s="1"/>
  <c r="B157" i="6"/>
  <c r="C157" i="6" s="1"/>
  <c r="F123" i="6"/>
  <c r="D200" i="6" s="1"/>
  <c r="N104" i="2"/>
  <c r="W104" i="2" s="1"/>
  <c r="B11" i="2"/>
  <c r="D42" i="2"/>
  <c r="D51" i="2" s="1"/>
  <c r="C51" i="2" s="1"/>
  <c r="B182" i="6" l="1"/>
  <c r="C182" i="6"/>
  <c r="D182" i="6"/>
  <c r="E182" i="6"/>
  <c r="F182" i="6"/>
  <c r="B200" i="6"/>
  <c r="C166" i="6"/>
  <c r="C167" i="6"/>
  <c r="C164" i="6"/>
  <c r="C165" i="6"/>
  <c r="C162" i="6"/>
  <c r="C200" i="6"/>
  <c r="V104" i="2"/>
  <c r="J42" i="2"/>
  <c r="C42" i="2"/>
  <c r="B51" i="2"/>
  <c r="J43" i="2"/>
  <c r="J44" i="2"/>
  <c r="J45" i="2"/>
  <c r="J46" i="2"/>
  <c r="F42" i="2"/>
  <c r="F51" i="2" s="1"/>
  <c r="F54" i="2" s="1"/>
  <c r="F57" i="2" s="1"/>
  <c r="J47" i="2"/>
  <c r="D186" i="6" l="1"/>
  <c r="E186" i="6"/>
  <c r="F186" i="6"/>
  <c r="B186" i="6"/>
  <c r="C186" i="6"/>
  <c r="D183" i="6"/>
  <c r="E183" i="6"/>
  <c r="F183" i="6"/>
  <c r="C183" i="6"/>
  <c r="B183" i="6"/>
  <c r="B185" i="6"/>
  <c r="C185" i="6"/>
  <c r="F185" i="6"/>
  <c r="D185" i="6"/>
  <c r="E185" i="6"/>
  <c r="C181" i="6"/>
  <c r="D181" i="6"/>
  <c r="E181" i="6"/>
  <c r="F181" i="6"/>
  <c r="B181" i="6"/>
  <c r="C184" i="6"/>
  <c r="D184" i="6"/>
  <c r="E184" i="6"/>
  <c r="B184" i="6"/>
  <c r="F184" i="6"/>
  <c r="C168" i="6"/>
  <c r="G182" i="6"/>
  <c r="B52" i="2"/>
  <c r="H67" i="2"/>
  <c r="Q100" i="2" s="1"/>
  <c r="H62" i="2"/>
  <c r="B187" i="6" l="1"/>
  <c r="G185" i="6"/>
  <c r="G186" i="6"/>
  <c r="G184" i="6"/>
  <c r="F187" i="6"/>
  <c r="C187" i="6"/>
  <c r="D187" i="6"/>
  <c r="G183" i="6"/>
  <c r="G181" i="6"/>
  <c r="E187" i="6"/>
  <c r="T100" i="2"/>
  <c r="Q101" i="2"/>
  <c r="K67" i="2"/>
  <c r="H68" i="2"/>
  <c r="H65" i="2" s="1"/>
  <c r="E201" i="6" l="1"/>
  <c r="C201" i="6" s="1"/>
  <c r="G187" i="6"/>
  <c r="D201" i="6" s="1"/>
  <c r="Q97" i="2"/>
  <c r="T97" i="2" s="1"/>
  <c r="H69" i="2"/>
  <c r="U97" i="2"/>
  <c r="U92" i="2"/>
  <c r="Q89" i="2"/>
  <c r="Q93" i="2"/>
  <c r="T93" i="2" s="1"/>
  <c r="U93" i="2"/>
  <c r="Q92" i="2"/>
  <c r="T92" i="2" s="1"/>
  <c r="Q90" i="2"/>
  <c r="T90" i="2" s="1"/>
  <c r="U89" i="2"/>
  <c r="Q96" i="2"/>
  <c r="T96" i="2" s="1"/>
  <c r="U91" i="2"/>
  <c r="U96" i="2"/>
  <c r="U95" i="2"/>
  <c r="Q95" i="2"/>
  <c r="T95" i="2" s="1"/>
  <c r="K65" i="2"/>
  <c r="Q94" i="2"/>
  <c r="T94" i="2" s="1"/>
  <c r="U90" i="2"/>
  <c r="Q91" i="2"/>
  <c r="T91" i="2" s="1"/>
  <c r="U94" i="2"/>
  <c r="F114" i="2"/>
  <c r="K68" i="2"/>
  <c r="E115" i="2" s="1"/>
  <c r="E114" i="2"/>
  <c r="T101" i="2"/>
  <c r="U100" i="2"/>
  <c r="U101" i="2" s="1"/>
  <c r="U98" i="2" l="1"/>
  <c r="T89" i="2"/>
  <c r="T98" i="2" s="1"/>
  <c r="Q98" i="2"/>
  <c r="Q102" i="2" s="1"/>
  <c r="Q103" i="2" s="1"/>
  <c r="K69" i="2"/>
  <c r="H41" i="2"/>
  <c r="E116" i="2"/>
  <c r="H51" i="2"/>
  <c r="H42" i="2"/>
  <c r="H44" i="2"/>
  <c r="H43" i="2"/>
  <c r="F116" i="2"/>
  <c r="H45" i="2"/>
  <c r="H40" i="2"/>
  <c r="H46" i="2"/>
  <c r="H49" i="2"/>
  <c r="E206" i="6" l="1"/>
  <c r="B206" i="6" s="1"/>
  <c r="E204" i="6"/>
  <c r="B201" i="6"/>
  <c r="F201" i="6"/>
  <c r="G201" i="6" s="1"/>
  <c r="F200" i="6"/>
  <c r="G200" i="6" s="1"/>
  <c r="F115" i="2"/>
  <c r="F118" i="2"/>
  <c r="F120" i="2" s="1"/>
  <c r="T102" i="2"/>
  <c r="T103" i="2" s="1"/>
  <c r="T104" i="2"/>
  <c r="U104" i="2"/>
  <c r="U102" i="2"/>
  <c r="U103" i="2" s="1"/>
  <c r="D206" i="6" l="1"/>
  <c r="E210" i="6"/>
  <c r="E205" i="6"/>
  <c r="E207" i="6"/>
  <c r="E209" i="6" s="1"/>
  <c r="F194" i="6" s="1"/>
  <c r="F119" i="2"/>
  <c r="E190" i="6" l="1"/>
  <c r="C189" i="6"/>
  <c r="B189" i="6"/>
  <c r="F190" i="6"/>
  <c r="E193" i="6"/>
  <c r="B190" i="6"/>
  <c r="B192" i="6"/>
  <c r="D189" i="6"/>
  <c r="G189" i="6" s="1"/>
  <c r="B193" i="6"/>
  <c r="C190" i="6"/>
  <c r="E191" i="6"/>
  <c r="D193" i="6"/>
  <c r="D194" i="6"/>
  <c r="B191" i="6"/>
  <c r="E194" i="6"/>
  <c r="E189" i="6"/>
  <c r="B194" i="6"/>
  <c r="F189" i="6"/>
  <c r="C192" i="6"/>
  <c r="F193" i="6"/>
  <c r="F191" i="6"/>
  <c r="E192" i="6"/>
  <c r="D190" i="6"/>
  <c r="F192" i="6"/>
  <c r="C194" i="6"/>
  <c r="D192" i="6"/>
  <c r="C193" i="6"/>
  <c r="D191" i="6"/>
  <c r="C191" i="6"/>
  <c r="G190" i="6" l="1"/>
  <c r="B195" i="6"/>
  <c r="F195" i="6"/>
  <c r="G194" i="6"/>
  <c r="E195" i="6"/>
  <c r="G191" i="6"/>
  <c r="D195" i="6"/>
  <c r="G192" i="6"/>
  <c r="G193" i="6"/>
  <c r="G195" i="6" s="1"/>
  <c r="E212" i="6" s="1"/>
  <c r="C195" i="6"/>
  <c r="B212" i="6" l="1"/>
  <c r="C212" i="6"/>
  <c r="D212" i="6"/>
  <c r="E211" i="6"/>
  <c r="C215" i="6"/>
  <c r="C216" i="6"/>
  <c r="C217" i="6"/>
  <c r="C218" i="6"/>
  <c r="C219" i="6"/>
  <c r="C220" i="6"/>
  <c r="C221" i="6" l="1"/>
  <c r="C229" i="6"/>
  <c r="D229" i="6"/>
  <c r="E229" i="6"/>
  <c r="F229" i="6"/>
  <c r="B229" i="6"/>
  <c r="D228" i="6"/>
  <c r="E228" i="6"/>
  <c r="F228" i="6"/>
  <c r="B228" i="6"/>
  <c r="C228" i="6"/>
  <c r="C227" i="6"/>
  <c r="D227" i="6"/>
  <c r="E227" i="6"/>
  <c r="B227" i="6"/>
  <c r="F227" i="6"/>
  <c r="C226" i="6"/>
  <c r="D226" i="6"/>
  <c r="E226" i="6"/>
  <c r="B226" i="6"/>
  <c r="F226" i="6"/>
  <c r="D225" i="6"/>
  <c r="E225" i="6"/>
  <c r="F225" i="6"/>
  <c r="B225" i="6"/>
  <c r="C225" i="6"/>
  <c r="B224" i="6"/>
  <c r="D224" i="6"/>
  <c r="C224" i="6"/>
  <c r="E224" i="6"/>
  <c r="F224" i="6"/>
  <c r="G226" i="6" l="1"/>
  <c r="G229" i="6"/>
  <c r="G225" i="6"/>
  <c r="G228" i="6"/>
  <c r="F230" i="6"/>
  <c r="C230" i="6"/>
  <c r="G227" i="6"/>
  <c r="E230" i="6"/>
  <c r="D230" i="6"/>
  <c r="G224" i="6"/>
  <c r="G230" i="6" s="1"/>
  <c r="B23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 User</author>
  </authors>
  <commentList>
    <comment ref="D65" authorId="0" shapeId="0" xr:uid="{393F8355-251E-4F8B-9B1B-08184466DEA8}">
      <text>
        <r>
          <rPr>
            <sz val="11"/>
            <color theme="1"/>
            <rFont val="Calibri"/>
            <family val="2"/>
            <scheme val="minor"/>
          </rPr>
          <t>Pricing Markup % over cost</t>
        </r>
      </text>
    </comment>
    <comment ref="P65" authorId="0" shapeId="0" xr:uid="{6C021418-831E-4789-AFF4-8ACFC3C6AE0C}">
      <text>
        <r>
          <rPr>
            <sz val="11"/>
            <color theme="1"/>
            <rFont val="Calibri"/>
            <family val="2"/>
            <scheme val="minor"/>
          </rPr>
          <t>Pricing Markup % over cost</t>
        </r>
      </text>
    </comment>
  </commentList>
</comments>
</file>

<file path=xl/sharedStrings.xml><?xml version="1.0" encoding="utf-8"?>
<sst xmlns="http://schemas.openxmlformats.org/spreadsheetml/2006/main" count="727" uniqueCount="405">
  <si>
    <t>Component</t>
  </si>
  <si>
    <t>Area (sf)</t>
  </si>
  <si>
    <t>Benchmark $/sf (Low)</t>
  </si>
  <si>
    <t>Benchmark $/sf (High)</t>
  </si>
  <si>
    <t>Sub-total (Low)</t>
  </si>
  <si>
    <t>Sub-total (High)</t>
  </si>
  <si>
    <t>Conditioned interior</t>
  </si>
  <si>
    <t>Garage / workshop</t>
  </si>
  <si>
    <t>Working figure for fee calc (mid-range)</t>
  </si>
  <si>
    <t>Scope</t>
  </si>
  <si>
    <t>Fee</t>
  </si>
  <si>
    <t>Landscape architecture</t>
  </si>
  <si>
    <t>Civil / site engineer</t>
  </si>
  <si>
    <t>Structural engineer</t>
  </si>
  <si>
    <t>Mechanical (HVAC, energy, pools)</t>
  </si>
  <si>
    <t>Electrical (power / lighting)</t>
  </si>
  <si>
    <t>Plumbing engineer</t>
  </si>
  <si>
    <t>Low‑voltage / data / BMS</t>
  </si>
  <si>
    <t>Architecture fee (reference)</t>
  </si>
  <si>
    <t>Phase</t>
  </si>
  <si>
    <t>% of Arch fee</t>
  </si>
  <si>
    <t>Milestone</t>
  </si>
  <si>
    <t>Fee amount</t>
  </si>
  <si>
    <t>Pre‑Design &amp; Concept</t>
  </si>
  <si>
    <t>Signed concept drawings &amp; outline spec</t>
  </si>
  <si>
    <t>Schematic Design</t>
  </si>
  <si>
    <t>Approved SD package &amp; updated estimate</t>
  </si>
  <si>
    <t>Design Development</t>
  </si>
  <si>
    <t>50% DD set &amp; reconciled budget</t>
  </si>
  <si>
    <t>Construction Docs</t>
  </si>
  <si>
    <t>100% CD set ready for permit/bid</t>
  </si>
  <si>
    <t>Permit &amp; Bidding</t>
  </si>
  <si>
    <t>Permit submission / GC selection</t>
  </si>
  <si>
    <t>Construction Admin</t>
  </si>
  <si>
    <t>Monthly, proportional to progress</t>
  </si>
  <si>
    <t>Total</t>
  </si>
  <si>
    <t>Budget acknowledgement</t>
  </si>
  <si>
    <t>The Owner acknowledges that today's indicative budget is &lt;refer to Cost_Check!B{working_row}&gt;.  Louis Amy AE Studio will continue to advise the Owner as estimates are refined.  If the agreed budget increases, fees based on a percentage of construction cost shall adjust accordingly.</t>
  </si>
  <si>
    <t>Minimum &amp; true-up</t>
  </si>
  <si>
    <t>Architect’s fee: the greater of (a) &lt;insert minimum&gt; or (b) 12% of the Cost of the Work, calculated at the time a construction contract is executed.  Any increase in Cost of the Work thereafter shall be subject to the same percentage.</t>
  </si>
  <si>
    <t>Additional services trigger</t>
  </si>
  <si>
    <t>If the Owner requests program additions, extra revisions beyond two per phase, or accelerates schedule, the Architect shall be compensated as an Additional Service at specified hourly rates.</t>
  </si>
  <si>
    <t>Consultant pass-through</t>
  </si>
  <si>
    <t>Consultant fees are invoiced at cost plus a coordination fee.  Alternatively, consultants may contract directly with the Owner; the Architect's fee then applies solely to architectural services.</t>
  </si>
  <si>
    <t>Key</t>
  </si>
  <si>
    <t>Building Type</t>
  </si>
  <si>
    <t>Tier</t>
  </si>
  <si>
    <t>ShellMin</t>
  </si>
  <si>
    <t>ShellMax</t>
  </si>
  <si>
    <t>AllInMin</t>
  </si>
  <si>
    <t>AllInMax</t>
  </si>
  <si>
    <t>ArchShare</t>
  </si>
  <si>
    <t>IntShare</t>
  </si>
  <si>
    <t>LandShare</t>
  </si>
  <si>
    <t>High-End Custom Residential|1</t>
  </si>
  <si>
    <t>High-End Custom Residential</t>
  </si>
  <si>
    <t>High-End Custom Residential|2</t>
  </si>
  <si>
    <t>High-End Custom Residential|3</t>
  </si>
  <si>
    <t>Mid-Range Standard Residential|1</t>
  </si>
  <si>
    <t>Mid-Range Standard Residential</t>
  </si>
  <si>
    <t>Mid-Range Standard Residential|2</t>
  </si>
  <si>
    <t>Mid-Range Standard Residential|3</t>
  </si>
  <si>
    <t>Hospitality (Hotel/Resort)|1</t>
  </si>
  <si>
    <t>Hospitality (Hotel/Resort)</t>
  </si>
  <si>
    <t>Hospitality (Hotel/Resort)|2</t>
  </si>
  <si>
    <t>Hospitality (Hotel/Resort)|3</t>
  </si>
  <si>
    <t>Commercial / Mixed-Use|1</t>
  </si>
  <si>
    <t>Commercial / Mixed-Use</t>
  </si>
  <si>
    <t>Commercial / Mixed-Use|2</t>
  </si>
  <si>
    <t>Commercial / Mixed-Use|3</t>
  </si>
  <si>
    <t>Numeric Tier</t>
  </si>
  <si>
    <t>Category Simple</t>
  </si>
  <si>
    <t>PercentAvg</t>
  </si>
  <si>
    <t>PercentMin</t>
  </si>
  <si>
    <t>PercentMax</t>
  </si>
  <si>
    <t>CostMinPSF</t>
  </si>
  <si>
    <t>CostMaxPSF</t>
  </si>
  <si>
    <t>High-End Custom Residential|1|Civil &amp; Site</t>
  </si>
  <si>
    <t>Civil &amp; Site</t>
  </si>
  <si>
    <t>High-End Custom Residential|1|Structural</t>
  </si>
  <si>
    <t>Structural</t>
  </si>
  <si>
    <t>High-End Custom Residential|1|Mechanical</t>
  </si>
  <si>
    <t>Mechanical</t>
  </si>
  <si>
    <t>High-End Custom Residential|1|Electrical</t>
  </si>
  <si>
    <t>Electrical</t>
  </si>
  <si>
    <t>High-End Custom Residential|1|Plumbing</t>
  </si>
  <si>
    <t>Plumbing</t>
  </si>
  <si>
    <t>High-End Custom Residential|1|Low-Voltage</t>
  </si>
  <si>
    <t>Low-Voltage</t>
  </si>
  <si>
    <t>High-End Custom Residential|2|Civil &amp; Site</t>
  </si>
  <si>
    <t>High-End Custom Residential|2|Structural</t>
  </si>
  <si>
    <t>High-End Custom Residential|2|Mechanical</t>
  </si>
  <si>
    <t>High-End Custom Residential|2|Electrical</t>
  </si>
  <si>
    <t>High-End Custom Residential|2|Plumbing</t>
  </si>
  <si>
    <t>High-End Custom Residential|2|Low-Voltage</t>
  </si>
  <si>
    <t>High-End Custom Residential|3|Civil &amp; Site</t>
  </si>
  <si>
    <t>High-End Custom Residential|3|Structural</t>
  </si>
  <si>
    <t>High-End Custom Residential|3|Mechanical</t>
  </si>
  <si>
    <t>High-End Custom Residential|3|Electrical</t>
  </si>
  <si>
    <t>High-End Custom Residential|3|Plumbing</t>
  </si>
  <si>
    <t>High-End Custom Residential|3|Low-Voltage</t>
  </si>
  <si>
    <t>Mid-Range Residential</t>
  </si>
  <si>
    <t>Hospitality 4-Star|1|Civil &amp; Site</t>
  </si>
  <si>
    <t>Hospitality 4-Star</t>
  </si>
  <si>
    <t>Hospitality 4-Star|1|Structural</t>
  </si>
  <si>
    <t>Hospitality 4-Star|1|Mechanical</t>
  </si>
  <si>
    <t>Hospitality 4-Star|1|Electrical</t>
  </si>
  <si>
    <t>Hospitality 4-Star|1|Plumbing</t>
  </si>
  <si>
    <t>Hospitality 4-Star|1|Low-Voltage</t>
  </si>
  <si>
    <t>Commercial Class A|2|Civil &amp; Site</t>
  </si>
  <si>
    <t>Commercial Class A</t>
  </si>
  <si>
    <t>Commercial Class A|2|Structural</t>
  </si>
  <si>
    <t>Commercial Class A|2|Mechanical</t>
  </si>
  <si>
    <t>Commercial Class A|2|Electrical</t>
  </si>
  <si>
    <t>Commercial Class A|2|Plumbing</t>
  </si>
  <si>
    <t>Commercial Class A|2|Low-Voltage</t>
  </si>
  <si>
    <t>Complexity multiplier %</t>
  </si>
  <si>
    <t>Compression premium %</t>
  </si>
  <si>
    <t>Contingency %</t>
  </si>
  <si>
    <t>Hourly‑factor from SF curve</t>
  </si>
  <si>
    <t>Raw design hours</t>
  </si>
  <si>
    <t>Cost‑based fee</t>
  </si>
  <si>
    <t>Building Shell Budget</t>
  </si>
  <si>
    <t>Interior construction Budget</t>
  </si>
  <si>
    <t>Landscape works Budget</t>
  </si>
  <si>
    <t>Architecture Budget</t>
  </si>
  <si>
    <t>Structural Budget</t>
  </si>
  <si>
    <t>Civil Budget</t>
  </si>
  <si>
    <t>Mechanical Budget</t>
  </si>
  <si>
    <t>Electrical Budget</t>
  </si>
  <si>
    <t>Plumbing Budget</t>
  </si>
  <si>
    <t>Calculated %</t>
  </si>
  <si>
    <t>Area</t>
  </si>
  <si>
    <t>Rate</t>
  </si>
  <si>
    <r>
      <t>Site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</si>
  <si>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New Building Area (ft²)</t>
  </si>
  <si>
    <t>Existing Building Area (ft²)</t>
  </si>
  <si>
    <r>
      <t>Site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</si>
  <si>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Scan To Bim  "As-Built"</t>
  </si>
  <si>
    <t>Shell Budget Per (ft²)</t>
  </si>
  <si>
    <t>Project Budget Per (ft²)</t>
  </si>
  <si>
    <t xml:space="preserve">Design </t>
  </si>
  <si>
    <t>Construction Cost % Fee</t>
  </si>
  <si>
    <t xml:space="preserve">Top Down </t>
  </si>
  <si>
    <t>Buttom Up</t>
  </si>
  <si>
    <t>Cost Base Fee</t>
  </si>
  <si>
    <t>III. Project Hours &amp; Leverage</t>
  </si>
  <si>
    <t>Months</t>
  </si>
  <si>
    <t>Hours % Allocation</t>
  </si>
  <si>
    <t>Hours per Stage</t>
  </si>
  <si>
    <t>Admin</t>
  </si>
  <si>
    <t>Designer</t>
  </si>
  <si>
    <t>Architect</t>
  </si>
  <si>
    <t xml:space="preserve">Engineer </t>
  </si>
  <si>
    <t>Principal</t>
  </si>
  <si>
    <t>Sq Feet</t>
  </si>
  <si>
    <t>Hours Factor</t>
  </si>
  <si>
    <t>Total Hours</t>
  </si>
  <si>
    <t>Upfront / Kick-Off</t>
  </si>
  <si>
    <t>Discovery</t>
  </si>
  <si>
    <t>Pre-Construction  (Hourly Rate)</t>
  </si>
  <si>
    <t>Varies</t>
  </si>
  <si>
    <t>Construction Observation  (Hourly Rate)</t>
  </si>
  <si>
    <t>IV. Project Hours Distribution</t>
  </si>
  <si>
    <t>Pre-Construction</t>
  </si>
  <si>
    <t>Construction Observation</t>
  </si>
  <si>
    <t>V. Project Budget</t>
  </si>
  <si>
    <t>Scenario 1</t>
  </si>
  <si>
    <t>Scenario 2</t>
  </si>
  <si>
    <t>Scenario 3</t>
  </si>
  <si>
    <t>Scenario 4</t>
  </si>
  <si>
    <t>LouisAmy Discounted</t>
  </si>
  <si>
    <t>LouisAmy 
Full Rate</t>
  </si>
  <si>
    <t>Market Rate
Full Rate</t>
  </si>
  <si>
    <t>Market Rate
Discounted</t>
  </si>
  <si>
    <t>Pricing</t>
  </si>
  <si>
    <t>Labor Cost</t>
  </si>
  <si>
    <t>Overhead</t>
  </si>
  <si>
    <t>Profit</t>
  </si>
  <si>
    <t>Marging</t>
  </si>
  <si>
    <t>Contruction Cost  &amp; (AE %)</t>
  </si>
  <si>
    <t>Louis Amy</t>
  </si>
  <si>
    <t>II. Cost &amp; Pricing-Per Hour</t>
  </si>
  <si>
    <t>Markup</t>
  </si>
  <si>
    <t>Ave Rates</t>
  </si>
  <si>
    <t>Rate -Pricing per hour</t>
  </si>
  <si>
    <t>Rate- Labor Cost per hour</t>
  </si>
  <si>
    <t>Rate -Overhead per hour</t>
  </si>
  <si>
    <t>Rate -Total Cost</t>
  </si>
  <si>
    <t>Margin</t>
  </si>
  <si>
    <t>Employees Idle cost (Non Billable Time)</t>
  </si>
  <si>
    <t>Total Labor Cost</t>
  </si>
  <si>
    <t>Software</t>
  </si>
  <si>
    <t>Cursor</t>
  </si>
  <si>
    <t>month time 12 (Annual)</t>
  </si>
  <si>
    <t>ENERO-JUNIO 2025</t>
  </si>
  <si>
    <t>Desirgner
Rate $26 
per hr</t>
  </si>
  <si>
    <t>Architect
Rate $26 per hr</t>
  </si>
  <si>
    <t>Principal
Rate $26 per hr</t>
  </si>
  <si>
    <t>LouisAmy
Real</t>
  </si>
  <si>
    <t>LouisAmy
Real 
Cash Basis</t>
  </si>
  <si>
    <t>LouisAmy
Total
Actual 2024</t>
  </si>
  <si>
    <t>Architect
Rate $48 per hr</t>
  </si>
  <si>
    <t>Principal
Rate $72 per hr</t>
  </si>
  <si>
    <t>Market Rate</t>
  </si>
  <si>
    <t>Market Rate
After YR 3</t>
  </si>
  <si>
    <t>Real</t>
  </si>
  <si>
    <t>Real Cash Basis</t>
  </si>
  <si>
    <t>PY Actual</t>
  </si>
  <si>
    <t>Market</t>
  </si>
  <si>
    <t>Market Rates</t>
  </si>
  <si>
    <t>Total Cost</t>
  </si>
  <si>
    <t>Total Expenses</t>
  </si>
  <si>
    <t>Market Fee</t>
  </si>
  <si>
    <t>Architecture (Design + Consultant Admin.)</t>
  </si>
  <si>
    <t xml:space="preserve">Discounted </t>
  </si>
  <si>
    <t>Consultants</t>
  </si>
  <si>
    <t>Areas</t>
  </si>
  <si>
    <t>Total Building Area (ft²)</t>
  </si>
  <si>
    <t>Site Scan to Bim</t>
  </si>
  <si>
    <t>Existing Building Scan to Bim</t>
  </si>
  <si>
    <t>Discount</t>
  </si>
  <si>
    <t>Outdoor (terrace, kitchen roof, etc.)</t>
  </si>
  <si>
    <t>Indicative construction budget (ex pools, siteworks)</t>
  </si>
  <si>
    <t xml:space="preserve"> </t>
  </si>
  <si>
    <t>Mid-Range Standard Residential|1|Civil &amp; Site</t>
  </si>
  <si>
    <t>Mid-Range Standard Residential|1|Structural</t>
  </si>
  <si>
    <t>Mid-Range Standard Residential|1|Mechanical</t>
  </si>
  <si>
    <t>Mid-Range Standard Residential|1|Electrical</t>
  </si>
  <si>
    <t>Mid-Range Standard Residential|1|Plumbing</t>
  </si>
  <si>
    <t>Mid-Range Standard Residential|1|Low-Voltage</t>
  </si>
  <si>
    <t>Mid-Range Standard Residential|2|Civil &amp; Site</t>
  </si>
  <si>
    <t>Mid-Range Standard Residential|2|Structural</t>
  </si>
  <si>
    <t>Mid-Range Standard Residential|2|Mechanical</t>
  </si>
  <si>
    <t>Mid-Range Standard Residential|2|Electrical</t>
  </si>
  <si>
    <t>Mid-Range Standard Residential|2|Plumbing</t>
  </si>
  <si>
    <t>Mid-Range Standard Residential|2|Low-Voltage</t>
  </si>
  <si>
    <t>Mid-Range Standard Residential|3|Civil &amp; Site</t>
  </si>
  <si>
    <t>Mid-Range Standard Residential|3|Structural</t>
  </si>
  <si>
    <t>Mid-Range Standard Residential|3|Mechanical</t>
  </si>
  <si>
    <t>Mid-Range Standard Residential|3|Electrical</t>
  </si>
  <si>
    <t>Mid-Range Standard Residential|3|Plumbing</t>
  </si>
  <si>
    <t>Mid-Range Standard Residential|3|Low-Voltage</t>
  </si>
  <si>
    <t>Interior design</t>
  </si>
  <si>
    <t>Project Budget</t>
  </si>
  <si>
    <t>Rate per sq-ft</t>
  </si>
  <si>
    <t>Hours</t>
  </si>
  <si>
    <t>Weaks</t>
  </si>
  <si>
    <t>Yearly Utilization</t>
  </si>
  <si>
    <t>Creative - Shematic</t>
  </si>
  <si>
    <t>Creative - Conceptual</t>
  </si>
  <si>
    <t>Creative - Preliminary</t>
  </si>
  <si>
    <t>Technical - Shematic</t>
  </si>
  <si>
    <t>Technical - Preliminary</t>
  </si>
  <si>
    <t>Kick-Off</t>
  </si>
  <si>
    <t>Interior</t>
  </si>
  <si>
    <t>Outdoor</t>
  </si>
  <si>
    <t>Buiding Shell</t>
  </si>
  <si>
    <t>Mixto</t>
  </si>
  <si>
    <t xml:space="preserve">Total </t>
  </si>
  <si>
    <t>Hourly Rate</t>
  </si>
  <si>
    <t xml:space="preserve">Profit Discount </t>
  </si>
  <si>
    <t>Total Profit</t>
  </si>
  <si>
    <t>Total Quote</t>
  </si>
  <si>
    <t>Project Time Schedule</t>
  </si>
  <si>
    <t>months</t>
  </si>
  <si>
    <t>hrs</t>
  </si>
  <si>
    <t>Total Working Time</t>
  </si>
  <si>
    <t xml:space="preserve">Labor </t>
  </si>
  <si>
    <t xml:space="preserve">Overhead </t>
  </si>
  <si>
    <t xml:space="preserve">Profit </t>
  </si>
  <si>
    <t>Firm Hourly Fixed Fee</t>
  </si>
  <si>
    <t>Project Shell  Share</t>
  </si>
  <si>
    <t>Project Interior Share</t>
  </si>
  <si>
    <t>Project Landscape Share</t>
  </si>
  <si>
    <t>Architectural Design Share</t>
  </si>
  <si>
    <t>Interior Design Share</t>
  </si>
  <si>
    <t>Landscape Design Share</t>
  </si>
  <si>
    <t>Structural Design Share</t>
  </si>
  <si>
    <t>Civil Design Share</t>
  </si>
  <si>
    <t>Mechanical Design Share</t>
  </si>
  <si>
    <t>Electrical Design Share</t>
  </si>
  <si>
    <t>Plumbing Design Share</t>
  </si>
  <si>
    <t>Telecomunication Design</t>
  </si>
  <si>
    <t>Interior Budget</t>
  </si>
  <si>
    <t>Landscape Budget</t>
  </si>
  <si>
    <t>Interior Minimum Budget</t>
  </si>
  <si>
    <t>Landscape Minimum Budget</t>
  </si>
  <si>
    <t>Telecomunication Budget</t>
  </si>
  <si>
    <t>New Construction</t>
  </si>
  <si>
    <t>Existing to Remodel</t>
  </si>
  <si>
    <t xml:space="preserve">Hidden inside - display number and graphically </t>
  </si>
  <si>
    <t xml:space="preserve">selection </t>
  </si>
  <si>
    <t>Total % Per Employees</t>
  </si>
  <si>
    <t>Luis Amy Fee Calculator</t>
  </si>
  <si>
    <t xml:space="preserve">Louis Amy Quote </t>
  </si>
  <si>
    <t>Building Use</t>
  </si>
  <si>
    <t>Residential</t>
  </si>
  <si>
    <t>Residence - Private</t>
  </si>
  <si>
    <t>Building Tier</t>
  </si>
  <si>
    <t>Design Level</t>
  </si>
  <si>
    <t>Calculation Formulas</t>
  </si>
  <si>
    <t>//Reconstruction / Remodel</t>
  </si>
  <si>
    <t>Category</t>
  </si>
  <si>
    <t>Category 5</t>
  </si>
  <si>
    <t>//Drop Drown Selection filtered by Building use selection</t>
  </si>
  <si>
    <t>//Drop Drown Selection filtered by Building Type</t>
  </si>
  <si>
    <t xml:space="preserve">//Drop Drown Selection </t>
  </si>
  <si>
    <t>//Notes to AI Agent Coder</t>
  </si>
  <si>
    <t>//Calculate</t>
  </si>
  <si>
    <t>//From database to set the default // Allow Overwrite with a slider</t>
  </si>
  <si>
    <t>//display with a dounugth chart</t>
  </si>
  <si>
    <t>// Visualize data graphicaly inside a card // expand when click to reveal hidden info.</t>
  </si>
  <si>
    <t>Working Minimum Budget</t>
  </si>
  <si>
    <t>New Construction Min $/ft²</t>
  </si>
  <si>
    <t>Existing to Remodel Min $/ft²</t>
  </si>
  <si>
    <t>New Construction  Max $/ft²</t>
  </si>
  <si>
    <t>Existing to Remodel Max $/ft²</t>
  </si>
  <si>
    <t>New Construction Target $/ft²</t>
  </si>
  <si>
    <t>Existing to Remodel Target $/ft²</t>
  </si>
  <si>
    <t xml:space="preserve">// minimum end (bracket)  of slider //Fixed </t>
  </si>
  <si>
    <t xml:space="preserve">// Average by default // Allow Overwrite by moving a dot on the slider </t>
  </si>
  <si>
    <t xml:space="preserve">// Max end (bracket)  of slider //Fixed </t>
  </si>
  <si>
    <t xml:space="preserve">Total Budget </t>
  </si>
  <si>
    <t xml:space="preserve">New Construction Budget </t>
  </si>
  <si>
    <t>Existing to Remodel Budget</t>
  </si>
  <si>
    <t>Building Shell Minimum Total Budget</t>
  </si>
  <si>
    <t>New Construction Shell Minimum Total Budget</t>
  </si>
  <si>
    <t>Existing to Remodel Shell Minimum Total Budget</t>
  </si>
  <si>
    <t>New Construction Interior Minimum Total Budget</t>
  </si>
  <si>
    <t>Existing to Remodel Interior Minimum Total Budget</t>
  </si>
  <si>
    <t>New Construction Landscape Minimum Total Budget</t>
  </si>
  <si>
    <t>Existing to Remodel Landscape Minimum Total Budget</t>
  </si>
  <si>
    <t>//Card</t>
  </si>
  <si>
    <t>// Do not display</t>
  </si>
  <si>
    <t xml:space="preserve">New Construction </t>
  </si>
  <si>
    <t>Telecomunication</t>
  </si>
  <si>
    <t xml:space="preserve">// Do Not Display  // Base on Building Category </t>
  </si>
  <si>
    <t xml:space="preserve">//Hidden inside - display number and graphically </t>
  </si>
  <si>
    <t>Scan to Bim - Building</t>
  </si>
  <si>
    <t>Scan to Bim - Site</t>
  </si>
  <si>
    <t>Percent of Project Cost %</t>
  </si>
  <si>
    <t>Category Multiplier</t>
  </si>
  <si>
    <t>Historic Property Multiplier</t>
  </si>
  <si>
    <t>Selection</t>
  </si>
  <si>
    <t>Top Down Fee Analysis</t>
  </si>
  <si>
    <t>Cordination Fee</t>
  </si>
  <si>
    <t>Coordination Fee</t>
  </si>
  <si>
    <t>Aproximate Hours</t>
  </si>
  <si>
    <t>Designer 1</t>
  </si>
  <si>
    <t>Designer 2</t>
  </si>
  <si>
    <t>I. Buttom Up Fee Analysis</t>
  </si>
  <si>
    <t xml:space="preserve">Rate </t>
  </si>
  <si>
    <t>Team Member</t>
  </si>
  <si>
    <t>Scope Share Percentage</t>
  </si>
  <si>
    <t>Project Hours by Phases</t>
  </si>
  <si>
    <t>Designer 1 Leverage</t>
  </si>
  <si>
    <t>Designer 2 Leverage</t>
  </si>
  <si>
    <t>Architect Leverage</t>
  </si>
  <si>
    <t>Engineer Leverage</t>
  </si>
  <si>
    <t>Principal Leverage</t>
  </si>
  <si>
    <t>Designer 1 Hours</t>
  </si>
  <si>
    <t>Designer 2 Hours</t>
  </si>
  <si>
    <t>Architect Hours</t>
  </si>
  <si>
    <t>Engineer Hours</t>
  </si>
  <si>
    <t>Principal Hours</t>
  </si>
  <si>
    <t>New CostructionHours Factor</t>
  </si>
  <si>
    <t>Existing to Remodel  Hours Factor</t>
  </si>
  <si>
    <t>//Hide Do not show</t>
  </si>
  <si>
    <t xml:space="preserve">Hours by Louis Amy </t>
  </si>
  <si>
    <t>Hours Out of Scope</t>
  </si>
  <si>
    <t>Leverage % Per Employees</t>
  </si>
  <si>
    <t>Total Hours Per Employees</t>
  </si>
  <si>
    <t>Verification</t>
  </si>
  <si>
    <t>Percentage Sum Product</t>
  </si>
  <si>
    <t>Project Fees</t>
  </si>
  <si>
    <t>New Costruction Total Hours All-In</t>
  </si>
  <si>
    <t>Existing to Remodel Total Hours All-In</t>
  </si>
  <si>
    <t>Sanity Check</t>
  </si>
  <si>
    <t>Top Down Summary</t>
  </si>
  <si>
    <t>Louis Amy Market Fee</t>
  </si>
  <si>
    <t>Market Rate Per (ft²)</t>
  </si>
  <si>
    <t>Market Total Hours</t>
  </si>
  <si>
    <t>Multipliers</t>
  </si>
  <si>
    <t>Remodel Multiplier</t>
  </si>
  <si>
    <t>Market % of Construction</t>
  </si>
  <si>
    <t xml:space="preserve">Bottom Up Summary </t>
  </si>
  <si>
    <t>//Map Category by previous selections // Category 1 = 0.9 // Category 2 = 1.0 // Category 3 =1.1 // Category 4 = 1.2 // Category 5 = 1.3</t>
  </si>
  <si>
    <t>//New Construction</t>
  </si>
  <si>
    <t>//Use Site Area for Scan to Bim calculation</t>
  </si>
  <si>
    <t>//display with a dougnuth chart</t>
  </si>
  <si>
    <t>Percent Diference</t>
  </si>
  <si>
    <t>Diference</t>
  </si>
  <si>
    <t>New construction Leverage</t>
  </si>
  <si>
    <t>Existing to Remodel Leverage</t>
  </si>
  <si>
    <t xml:space="preserve">Market Price </t>
  </si>
  <si>
    <t>Discounted Final Price</t>
  </si>
  <si>
    <t>Applied Discount %</t>
  </si>
  <si>
    <t>Contract Price</t>
  </si>
  <si>
    <t>Maximum Discount</t>
  </si>
  <si>
    <t>Discount Manual Overwrite</t>
  </si>
  <si>
    <t>Discount Selection</t>
  </si>
  <si>
    <t>Hours Rebalance by Phases</t>
  </si>
  <si>
    <t>Rebalanced Hours Per Employees</t>
  </si>
  <si>
    <t>//Map "Design Level" equals to " Tier  (1,2,3)" // 1=Basic Design // 2=Standard Design // 3=Full Design // map this to the databbase "cost_ranges" this afect construction cost and interior exterior and shell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</si>
</sst>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77" formatCode="_(&quot;$&quot;* #,##0.0_);_(&quot;$&quot;* \(#,##0.0\);_(&quot;$&quot;* &quot;-&quot;??_);_(@_)"/>
    <numFmt numFmtId="178" formatCode="_(&quot;$&quot;* #,##0_);_(&quot;$&quot;* \(#,##0\);_(&quot;$&quot;* &quot;-&quot;??_);_(@_)"/>
  </numFmts>
  <fonts count="2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</font>
    <font>
      <b/>
      <sz val="16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  <fill>
      <patternFill patternType="lightGray">
        <bgColor theme="0" tint="-4.9989318521683403E-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2" fillId="8" borderId="0" applyNumberFormat="0" applyBorder="0" applyAlignment="0" applyProtection="0"/>
    <xf numFmtId="0" fontId="20" fillId="11" borderId="0" applyNumberFormat="0" applyBorder="0" applyAlignment="0" applyProtection="0"/>
  </cellStyleXfs>
  <cellXfs count="2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0" applyNumberFormat="1"/>
    <xf numFmtId="44" fontId="0" fillId="0" borderId="0" xfId="2" applyFont="1"/>
    <xf numFmtId="44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44" fontId="3" fillId="0" borderId="0" xfId="0" applyNumberFormat="1" applyFont="1"/>
    <xf numFmtId="1" fontId="0" fillId="0" borderId="0" xfId="0" applyNumberFormat="1"/>
    <xf numFmtId="10" fontId="0" fillId="0" borderId="0" xfId="3" applyNumberFormat="1" applyFont="1"/>
    <xf numFmtId="44" fontId="3" fillId="0" borderId="0" xfId="2" applyFont="1"/>
    <xf numFmtId="0" fontId="6" fillId="0" borderId="0" xfId="0" applyFont="1"/>
    <xf numFmtId="10" fontId="3" fillId="0" borderId="0" xfId="3" applyNumberFormat="1" applyFont="1"/>
    <xf numFmtId="3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1" applyNumberFormat="1" applyFont="1"/>
    <xf numFmtId="43" fontId="2" fillId="0" borderId="0" xfId="1" applyFont="1"/>
    <xf numFmtId="0" fontId="9" fillId="4" borderId="0" xfId="0" applyFont="1" applyFill="1" applyAlignment="1">
      <alignment horizontal="left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1" fillId="0" borderId="0" xfId="0" applyFont="1"/>
    <xf numFmtId="0" fontId="10" fillId="5" borderId="0" xfId="0" applyFont="1" applyFill="1"/>
    <xf numFmtId="0" fontId="10" fillId="5" borderId="0" xfId="0" applyFont="1" applyFill="1" applyAlignment="1">
      <alignment horizontal="center" wrapText="1"/>
    </xf>
    <xf numFmtId="164" fontId="0" fillId="6" borderId="4" xfId="5" applyNumberFormat="1" applyFont="1" applyFill="1" applyBorder="1"/>
    <xf numFmtId="0" fontId="10" fillId="5" borderId="0" xfId="0" applyFont="1" applyFill="1" applyAlignment="1">
      <alignment vertical="center"/>
    </xf>
    <xf numFmtId="0" fontId="10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165" fontId="12" fillId="6" borderId="4" xfId="4" applyNumberFormat="1" applyFont="1" applyFill="1" applyBorder="1"/>
    <xf numFmtId="164" fontId="10" fillId="0" borderId="4" xfId="1" applyNumberFormat="1" applyFont="1" applyFill="1" applyBorder="1"/>
    <xf numFmtId="0" fontId="0" fillId="6" borderId="2" xfId="4" applyFont="1" applyFill="1" applyBorder="1" applyAlignment="1">
      <alignment horizontal="center"/>
    </xf>
    <xf numFmtId="1" fontId="10" fillId="0" borderId="4" xfId="0" applyNumberFormat="1" applyFont="1" applyBorder="1"/>
    <xf numFmtId="9" fontId="0" fillId="6" borderId="6" xfId="4" applyNumberFormat="1" applyFont="1" applyFill="1" applyBorder="1"/>
    <xf numFmtId="9" fontId="0" fillId="6" borderId="2" xfId="4" applyNumberFormat="1" applyFont="1" applyFill="1" applyBorder="1"/>
    <xf numFmtId="9" fontId="10" fillId="7" borderId="2" xfId="3" applyFont="1" applyFill="1" applyBorder="1"/>
    <xf numFmtId="0" fontId="0" fillId="6" borderId="5" xfId="0" applyFill="1" applyBorder="1"/>
    <xf numFmtId="0" fontId="10" fillId="0" borderId="0" xfId="0" applyFont="1"/>
    <xf numFmtId="0" fontId="0" fillId="7" borderId="2" xfId="4" applyFont="1" applyFill="1" applyBorder="1" applyAlignment="1">
      <alignment horizontal="center"/>
    </xf>
    <xf numFmtId="9" fontId="0" fillId="7" borderId="2" xfId="4" applyNumberFormat="1" applyFont="1" applyFill="1" applyBorder="1"/>
    <xf numFmtId="164" fontId="0" fillId="7" borderId="7" xfId="4" applyNumberFormat="1" applyFont="1" applyFill="1" applyBorder="1" applyAlignment="1">
      <alignment horizontal="center"/>
    </xf>
    <xf numFmtId="0" fontId="10" fillId="4" borderId="0" xfId="0" applyFont="1" applyFill="1"/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/>
    <xf numFmtId="0" fontId="5" fillId="0" borderId="1" xfId="5" applyFill="1"/>
    <xf numFmtId="0" fontId="10" fillId="0" borderId="0" xfId="0" applyFont="1" applyAlignment="1">
      <alignment horizontal="right"/>
    </xf>
    <xf numFmtId="164" fontId="11" fillId="7" borderId="2" xfId="0" applyNumberFormat="1" applyFont="1" applyFill="1" applyBorder="1" applyAlignment="1">
      <alignment horizontal="left"/>
    </xf>
    <xf numFmtId="164" fontId="11" fillId="7" borderId="5" xfId="0" applyNumberFormat="1" applyFont="1" applyFill="1" applyBorder="1" applyAlignment="1">
      <alignment horizontal="left"/>
    </xf>
    <xf numFmtId="164" fontId="11" fillId="7" borderId="8" xfId="0" applyNumberFormat="1" applyFont="1" applyFill="1" applyBorder="1"/>
    <xf numFmtId="164" fontId="0" fillId="0" borderId="0" xfId="0" applyNumberFormat="1"/>
    <xf numFmtId="9" fontId="10" fillId="0" borderId="0" xfId="0" applyNumberFormat="1" applyFont="1"/>
    <xf numFmtId="164" fontId="10" fillId="0" borderId="0" xfId="0" applyNumberFormat="1" applyFont="1" applyAlignment="1">
      <alignment horizontal="center"/>
    </xf>
    <xf numFmtId="9" fontId="13" fillId="6" borderId="0" xfId="0" applyNumberFormat="1" applyFont="1" applyFill="1" applyAlignment="1">
      <alignment horizontal="center"/>
    </xf>
    <xf numFmtId="9" fontId="10" fillId="0" borderId="0" xfId="3" applyFont="1"/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wrapText="1"/>
    </xf>
    <xf numFmtId="42" fontId="10" fillId="9" borderId="0" xfId="0" applyNumberFormat="1" applyFont="1" applyFill="1"/>
    <xf numFmtId="164" fontId="10" fillId="0" borderId="0" xfId="3" applyNumberFormat="1" applyFont="1"/>
    <xf numFmtId="164" fontId="10" fillId="0" borderId="0" xfId="0" applyNumberFormat="1" applyFont="1"/>
    <xf numFmtId="164" fontId="10" fillId="0" borderId="0" xfId="0" applyNumberFormat="1" applyFont="1" applyAlignment="1">
      <alignment horizontal="right"/>
    </xf>
    <xf numFmtId="42" fontId="11" fillId="9" borderId="4" xfId="0" applyNumberFormat="1" applyFont="1" applyFill="1" applyBorder="1"/>
    <xf numFmtId="164" fontId="10" fillId="0" borderId="11" xfId="0" applyNumberFormat="1" applyFont="1" applyBorder="1"/>
    <xf numFmtId="164" fontId="10" fillId="0" borderId="11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164" fontId="11" fillId="0" borderId="11" xfId="0" applyNumberFormat="1" applyFont="1" applyBorder="1"/>
    <xf numFmtId="164" fontId="11" fillId="0" borderId="0" xfId="0" applyNumberFormat="1" applyFont="1"/>
    <xf numFmtId="164" fontId="10" fillId="6" borderId="0" xfId="0" applyNumberFormat="1" applyFont="1" applyFill="1"/>
    <xf numFmtId="0" fontId="10" fillId="0" borderId="14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9" fontId="13" fillId="6" borderId="0" xfId="3" applyFont="1" applyFill="1" applyBorder="1" applyAlignment="1">
      <alignment horizontal="center"/>
    </xf>
    <xf numFmtId="164" fontId="11" fillId="0" borderId="0" xfId="1" applyNumberFormat="1" applyFont="1" applyFill="1" applyBorder="1"/>
    <xf numFmtId="164" fontId="11" fillId="7" borderId="0" xfId="0" applyNumberFormat="1" applyFont="1" applyFill="1"/>
    <xf numFmtId="164" fontId="10" fillId="0" borderId="0" xfId="1" applyNumberFormat="1" applyFont="1" applyFill="1" applyBorder="1"/>
    <xf numFmtId="164" fontId="10" fillId="7" borderId="0" xfId="0" applyNumberFormat="1" applyFont="1" applyFill="1"/>
    <xf numFmtId="0" fontId="10" fillId="0" borderId="0" xfId="0" applyFont="1" applyAlignment="1">
      <alignment horizontal="left" vertical="center"/>
    </xf>
    <xf numFmtId="164" fontId="10" fillId="0" borderId="11" xfId="1" applyNumberFormat="1" applyFont="1" applyFill="1" applyBorder="1"/>
    <xf numFmtId="164" fontId="10" fillId="7" borderId="11" xfId="0" applyNumberFormat="1" applyFont="1" applyFill="1" applyBorder="1"/>
    <xf numFmtId="1" fontId="14" fillId="0" borderId="0" xfId="0" applyNumberFormat="1" applyFont="1"/>
    <xf numFmtId="0" fontId="15" fillId="0" borderId="0" xfId="0" applyFont="1"/>
    <xf numFmtId="1" fontId="16" fillId="0" borderId="0" xfId="0" applyNumberFormat="1" applyFont="1"/>
    <xf numFmtId="0" fontId="10" fillId="0" borderId="4" xfId="0" applyFont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0" borderId="0" xfId="0" applyFont="1" applyAlignment="1">
      <alignment wrapText="1"/>
    </xf>
    <xf numFmtId="44" fontId="10" fillId="0" borderId="0" xfId="2" applyFont="1"/>
    <xf numFmtId="44" fontId="2" fillId="0" borderId="0" xfId="2" applyFont="1"/>
    <xf numFmtId="44" fontId="3" fillId="0" borderId="0" xfId="2" applyFont="1" applyAlignment="1">
      <alignment horizontal="left"/>
    </xf>
    <xf numFmtId="0" fontId="11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164" fontId="3" fillId="0" borderId="0" xfId="6" applyNumberFormat="1" applyFont="1" applyFill="1" applyBorder="1"/>
    <xf numFmtId="164" fontId="3" fillId="7" borderId="0" xfId="6" applyNumberFormat="1" applyFont="1" applyFill="1" applyBorder="1"/>
    <xf numFmtId="0" fontId="17" fillId="0" borderId="0" xfId="0" applyFont="1"/>
    <xf numFmtId="9" fontId="10" fillId="0" borderId="0" xfId="3" applyFont="1" applyAlignment="1">
      <alignment horizontal="right"/>
    </xf>
    <xf numFmtId="0" fontId="0" fillId="0" borderId="15" xfId="0" applyBorder="1"/>
    <xf numFmtId="164" fontId="0" fillId="0" borderId="15" xfId="0" applyNumberFormat="1" applyBorder="1"/>
    <xf numFmtId="43" fontId="3" fillId="0" borderId="0" xfId="1" applyFont="1" applyAlignment="1">
      <alignment wrapText="1"/>
    </xf>
    <xf numFmtId="1" fontId="3" fillId="0" borderId="0" xfId="0" applyNumberFormat="1" applyFont="1"/>
    <xf numFmtId="42" fontId="18" fillId="9" borderId="10" xfId="0" applyNumberFormat="1" applyFont="1" applyFill="1" applyBorder="1"/>
    <xf numFmtId="43" fontId="0" fillId="0" borderId="0" xfId="0" applyNumberFormat="1"/>
    <xf numFmtId="44" fontId="19" fillId="0" borderId="0" xfId="2" applyFont="1"/>
    <xf numFmtId="44" fontId="21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6" fontId="0" fillId="0" borderId="0" xfId="0" applyNumberFormat="1"/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0" fillId="7" borderId="0" xfId="3" applyNumberFormat="1" applyFont="1" applyFill="1" applyBorder="1"/>
    <xf numFmtId="0" fontId="10" fillId="0" borderId="5" xfId="0" applyFont="1" applyBorder="1" applyAlignment="1">
      <alignment horizontal="center" vertical="center"/>
    </xf>
    <xf numFmtId="0" fontId="11" fillId="7" borderId="8" xfId="0" applyFont="1" applyFill="1" applyBorder="1"/>
    <xf numFmtId="1" fontId="11" fillId="7" borderId="8" xfId="0" applyNumberFormat="1" applyFont="1" applyFill="1" applyBorder="1"/>
    <xf numFmtId="0" fontId="10" fillId="7" borderId="2" xfId="0" applyFont="1" applyFill="1" applyBorder="1"/>
    <xf numFmtId="164" fontId="3" fillId="0" borderId="2" xfId="0" applyNumberFormat="1" applyFont="1" applyBorder="1"/>
    <xf numFmtId="9" fontId="3" fillId="0" borderId="0" xfId="3" applyFont="1"/>
    <xf numFmtId="164" fontId="3" fillId="0" borderId="0" xfId="0" applyNumberFormat="1" applyFont="1"/>
    <xf numFmtId="0" fontId="20" fillId="11" borderId="0" xfId="7" applyAlignment="1">
      <alignment horizontal="left"/>
    </xf>
    <xf numFmtId="0" fontId="20" fillId="11" borderId="2" xfId="7" applyBorder="1" applyAlignment="1">
      <alignment horizontal="center"/>
    </xf>
    <xf numFmtId="9" fontId="20" fillId="11" borderId="5" xfId="7" applyNumberFormat="1" applyBorder="1" applyAlignment="1">
      <alignment horizontal="center"/>
    </xf>
    <xf numFmtId="1" fontId="20" fillId="11" borderId="4" xfId="7" applyNumberFormat="1" applyBorder="1"/>
    <xf numFmtId="9" fontId="20" fillId="11" borderId="6" xfId="7" applyNumberFormat="1" applyBorder="1"/>
    <xf numFmtId="9" fontId="20" fillId="11" borderId="2" xfId="7" applyNumberFormat="1" applyBorder="1"/>
    <xf numFmtId="2" fontId="20" fillId="11" borderId="0" xfId="7" applyNumberFormat="1" applyBorder="1"/>
    <xf numFmtId="9" fontId="20" fillId="11" borderId="0" xfId="7" applyNumberFormat="1"/>
    <xf numFmtId="0" fontId="20" fillId="11" borderId="0" xfId="7"/>
    <xf numFmtId="0" fontId="20" fillId="11" borderId="2" xfId="7" applyBorder="1"/>
    <xf numFmtId="0" fontId="20" fillId="11" borderId="8" xfId="7" applyBorder="1"/>
    <xf numFmtId="42" fontId="20" fillId="11" borderId="0" xfId="7" applyNumberFormat="1"/>
    <xf numFmtId="42" fontId="20" fillId="11" borderId="10" xfId="7" applyNumberFormat="1" applyBorder="1"/>
    <xf numFmtId="164" fontId="20" fillId="11" borderId="0" xfId="7" applyNumberFormat="1"/>
    <xf numFmtId="164" fontId="20" fillId="11" borderId="0" xfId="7" applyNumberFormat="1" applyAlignment="1">
      <alignment horizontal="right"/>
    </xf>
    <xf numFmtId="0" fontId="22" fillId="0" borderId="0" xfId="0" applyFont="1"/>
    <xf numFmtId="9" fontId="17" fillId="0" borderId="0" xfId="3" applyFont="1"/>
    <xf numFmtId="0" fontId="23" fillId="0" borderId="0" xfId="0" applyFont="1"/>
    <xf numFmtId="44" fontId="17" fillId="0" borderId="0" xfId="2" applyFont="1"/>
    <xf numFmtId="44" fontId="17" fillId="0" borderId="0" xfId="0" applyNumberFormat="1" applyFont="1"/>
    <xf numFmtId="0" fontId="1" fillId="0" borderId="0" xfId="3" applyNumberFormat="1" applyFont="1"/>
    <xf numFmtId="0" fontId="0" fillId="0" borderId="0" xfId="3" applyNumberFormat="1" applyFont="1"/>
    <xf numFmtId="166" fontId="0" fillId="0" borderId="0" xfId="3" applyNumberFormat="1" applyFont="1"/>
    <xf numFmtId="0" fontId="24" fillId="0" borderId="0" xfId="0" applyFont="1"/>
    <xf numFmtId="9" fontId="0" fillId="6" borderId="5" xfId="3" applyFont="1" applyFill="1" applyBorder="1" applyAlignment="1">
      <alignment horizontal="center"/>
    </xf>
    <xf numFmtId="1" fontId="0" fillId="0" borderId="0" xfId="3" applyNumberFormat="1" applyFont="1"/>
    <xf numFmtId="3" fontId="10" fillId="0" borderId="0" xfId="2" applyNumberFormat="1" applyFont="1"/>
    <xf numFmtId="10" fontId="0" fillId="7" borderId="2" xfId="4" applyNumberFormat="1" applyFont="1" applyFill="1" applyBorder="1"/>
    <xf numFmtId="166" fontId="0" fillId="6" borderId="5" xfId="4" applyNumberFormat="1" applyFont="1" applyFill="1" applyBorder="1" applyAlignment="1">
      <alignment horizontal="center"/>
    </xf>
    <xf numFmtId="44" fontId="0" fillId="0" borderId="0" xfId="2" applyFont="1" applyAlignment="1">
      <alignment vertical="center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4" borderId="0" xfId="0" applyFont="1" applyFill="1" applyAlignment="1">
      <alignment horizontal="left" vertical="center"/>
    </xf>
    <xf numFmtId="0" fontId="9" fillId="4" borderId="13" xfId="0" applyFont="1" applyFill="1" applyBorder="1" applyAlignment="1">
      <alignment horizontal="left" vertical="center"/>
    </xf>
    <xf numFmtId="0" fontId="10" fillId="10" borderId="8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9" fontId="0" fillId="0" borderId="0" xfId="3" applyFont="1" applyAlignment="1">
      <alignment wrapText="1"/>
    </xf>
    <xf numFmtId="44" fontId="0" fillId="0" borderId="0" xfId="2" applyNumberFormat="1" applyFont="1"/>
    <xf numFmtId="9" fontId="3" fillId="0" borderId="0" xfId="0" applyNumberFormat="1" applyFont="1"/>
    <xf numFmtId="44" fontId="0" fillId="0" borderId="0" xfId="0" applyNumberFormat="1" applyFont="1"/>
    <xf numFmtId="0" fontId="1" fillId="0" borderId="0" xfId="0" applyFont="1" applyAlignment="1">
      <alignment horizontal="center" wrapText="1"/>
    </xf>
    <xf numFmtId="0" fontId="10" fillId="10" borderId="12" xfId="0" applyFont="1" applyFill="1" applyBorder="1" applyAlignment="1">
      <alignment horizontal="center"/>
    </xf>
    <xf numFmtId="0" fontId="0" fillId="0" borderId="0" xfId="0" applyFont="1"/>
    <xf numFmtId="44" fontId="11" fillId="0" borderId="0" xfId="2" applyFont="1" applyAlignment="1">
      <alignment horizontal="left" vertical="center"/>
    </xf>
    <xf numFmtId="164" fontId="0" fillId="0" borderId="0" xfId="1" applyNumberFormat="1" applyFont="1"/>
    <xf numFmtId="0" fontId="3" fillId="0" borderId="0" xfId="0" applyFont="1" applyAlignment="1">
      <alignment wrapText="1"/>
    </xf>
    <xf numFmtId="9" fontId="0" fillId="0" borderId="0" xfId="0" applyNumberFormat="1" applyAlignment="1">
      <alignment wrapText="1"/>
    </xf>
    <xf numFmtId="44" fontId="3" fillId="0" borderId="0" xfId="2" applyFont="1" applyAlignment="1">
      <alignment wrapText="1"/>
    </xf>
    <xf numFmtId="43" fontId="0" fillId="0" borderId="0" xfId="0" applyNumberFormat="1" applyAlignment="1">
      <alignment wrapText="1"/>
    </xf>
    <xf numFmtId="0" fontId="0" fillId="0" borderId="0" xfId="0" applyAlignment="1"/>
    <xf numFmtId="43" fontId="0" fillId="0" borderId="0" xfId="1" applyFont="1" applyAlignment="1">
      <alignment wrapText="1"/>
    </xf>
    <xf numFmtId="43" fontId="3" fillId="0" borderId="0" xfId="0" applyNumberFormat="1" applyFont="1"/>
    <xf numFmtId="43" fontId="0" fillId="0" borderId="0" xfId="0" applyNumberFormat="1" applyFont="1"/>
    <xf numFmtId="178" fontId="3" fillId="0" borderId="0" xfId="2" applyNumberFormat="1" applyFont="1"/>
    <xf numFmtId="178" fontId="3" fillId="0" borderId="0" xfId="2" applyNumberFormat="1" applyFont="1" applyAlignment="1">
      <alignment wrapText="1"/>
    </xf>
    <xf numFmtId="178" fontId="0" fillId="0" borderId="0" xfId="2" applyNumberFormat="1" applyFont="1" applyAlignment="1">
      <alignment horizontal="left"/>
    </xf>
    <xf numFmtId="178" fontId="0" fillId="0" borderId="0" xfId="2" applyNumberFormat="1" applyFont="1" applyAlignment="1">
      <alignment horizontal="left" wrapText="1"/>
    </xf>
    <xf numFmtId="178" fontId="0" fillId="0" borderId="0" xfId="2" applyNumberFormat="1" applyFont="1"/>
    <xf numFmtId="178" fontId="0" fillId="0" borderId="0" xfId="0" applyNumberFormat="1"/>
    <xf numFmtId="177" fontId="0" fillId="0" borderId="0" xfId="2" applyNumberFormat="1" applyFont="1" applyAlignment="1">
      <alignment wrapText="1"/>
    </xf>
    <xf numFmtId="178" fontId="0" fillId="0" borderId="0" xfId="2" applyNumberFormat="1" applyFont="1" applyAlignment="1">
      <alignment wrapText="1"/>
    </xf>
    <xf numFmtId="0" fontId="6" fillId="0" borderId="0" xfId="0" applyFont="1" applyAlignment="1">
      <alignment horizontal="center"/>
    </xf>
    <xf numFmtId="178" fontId="3" fillId="0" borderId="0" xfId="0" applyNumberFormat="1" applyFont="1"/>
    <xf numFmtId="44" fontId="3" fillId="0" borderId="16" xfId="0" applyNumberFormat="1" applyFont="1" applyBorder="1"/>
    <xf numFmtId="178" fontId="3" fillId="0" borderId="16" xfId="2" applyNumberFormat="1" applyFont="1" applyBorder="1"/>
    <xf numFmtId="164" fontId="3" fillId="0" borderId="16" xfId="1" applyNumberFormat="1" applyFont="1" applyBorder="1"/>
    <xf numFmtId="164" fontId="3" fillId="0" borderId="16" xfId="0" applyNumberFormat="1" applyFont="1" applyBorder="1"/>
    <xf numFmtId="0" fontId="0" fillId="0" borderId="0" xfId="0" applyFont="1" applyAlignment="1">
      <alignment wrapText="1"/>
    </xf>
    <xf numFmtId="9" fontId="2" fillId="0" borderId="0" xfId="3" applyFont="1"/>
    <xf numFmtId="0" fontId="3" fillId="0" borderId="17" xfId="0" applyFont="1" applyBorder="1"/>
    <xf numFmtId="164" fontId="0" fillId="0" borderId="0" xfId="0" applyNumberFormat="1" applyAlignment="1">
      <alignment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178" fontId="3" fillId="0" borderId="0" xfId="0" applyNumberFormat="1" applyFont="1" applyBorder="1"/>
    <xf numFmtId="9" fontId="0" fillId="0" borderId="18" xfId="3" applyFont="1" applyBorder="1"/>
    <xf numFmtId="44" fontId="0" fillId="0" borderId="18" xfId="2" applyNumberFormat="1" applyFont="1" applyBorder="1"/>
    <xf numFmtId="164" fontId="0" fillId="0" borderId="18" xfId="0" applyNumberFormat="1" applyBorder="1" applyAlignment="1">
      <alignment wrapText="1"/>
    </xf>
    <xf numFmtId="0" fontId="0" fillId="0" borderId="17" xfId="0" applyBorder="1"/>
    <xf numFmtId="9" fontId="0" fillId="0" borderId="18" xfId="0" applyNumberFormat="1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9" fontId="0" fillId="0" borderId="0" xfId="0" applyNumberFormat="1" applyBorder="1"/>
    <xf numFmtId="164" fontId="0" fillId="0" borderId="0" xfId="0" applyNumberFormat="1" applyBorder="1" applyAlignment="1">
      <alignment wrapText="1"/>
    </xf>
    <xf numFmtId="178" fontId="12" fillId="0" borderId="19" xfId="0" applyNumberFormat="1" applyFont="1" applyBorder="1"/>
    <xf numFmtId="164" fontId="12" fillId="0" borderId="18" xfId="0" applyNumberFormat="1" applyFont="1" applyBorder="1" applyAlignment="1">
      <alignment wrapText="1"/>
    </xf>
    <xf numFmtId="9" fontId="0" fillId="0" borderId="0" xfId="3" applyFont="1" applyAlignment="1"/>
  </cellXfs>
  <cellStyles count="8">
    <cellStyle name="60% - Accent1" xfId="6" builtinId="32"/>
    <cellStyle name="Comma" xfId="1" builtinId="3"/>
    <cellStyle name="Currency" xfId="2" builtinId="4"/>
    <cellStyle name="Good" xfId="4" builtinId="26"/>
    <cellStyle name="Input" xfId="5" builtinId="20"/>
    <cellStyle name="Neutral" xfId="7" builtinId="28"/>
    <cellStyle name="Normal" xfId="0" builtinId="0"/>
    <cellStyle name="Percent" xfId="3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106456</xdr:colOff>
      <xdr:row>21</xdr:row>
      <xdr:rowOff>126319</xdr:rowOff>
    </xdr:from>
    <xdr:to>
      <xdr:col>30</xdr:col>
      <xdr:colOff>312470</xdr:colOff>
      <xdr:row>52</xdr:row>
      <xdr:rowOff>54926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1AA997-4F9C-4FC6-2554-6FB6DFB2E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7206" y="3021919"/>
          <a:ext cx="4987564" cy="5891257"/>
        </a:xfrm>
        <a:prstGeom prst="rect">
          <a:avLst/>
        </a:prstGeom>
      </xdr:spPr>
    </xdr:pic>
    <xdr:clientData/>
  </xdr:twoCellAnchor>
  <xdr:twoCellAnchor editAs="oneCell">
    <xdr:from>
      <xdr:col>32</xdr:col>
      <xdr:colOff>476250</xdr:colOff>
      <xdr:row>22</xdr:row>
      <xdr:rowOff>119062</xdr:rowOff>
    </xdr:from>
    <xdr:to>
      <xdr:col>68</xdr:col>
      <xdr:colOff>317390</xdr:colOff>
      <xdr:row>56</xdr:row>
      <xdr:rowOff>123696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F49A8F-AEED-7C55-C4B5-81A947F77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527750" y="3205162"/>
          <a:ext cx="21786741" cy="65445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459136</xdr:colOff>
      <xdr:row>44</xdr:row>
      <xdr:rowOff>86907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D98051-75BB-9862-1EC4-7E8E57E78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870336" cy="846890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112DA3-D2C8-41C9-BF85-37B1DE87025B}" name="Table1" displayName="Table1" ref="A1:I55" totalsRowShown="0" headerRowDxfId="3">
  <tableColumns count="9">
    <tableColumn id="1" xr3:uid="{515BD3BF-ED66-4BA8-AB07-5FE7D6B4ACF2}" name="Key"/>
    <tableColumn id="2" xr3:uid="{48BC3F54-0A44-4B9F-BAB4-0B19B2A2AFF0}" name="Building Type"/>
    <tableColumn id="3" xr3:uid="{BD022B9D-47EB-4259-BED5-DCEAAEA249BE}" name="Numeric Tier"/>
    <tableColumn id="4" xr3:uid="{D9A9F198-4F2C-4E47-87F1-1B2640BB786A}" name="Category Simple"/>
    <tableColumn id="5" xr3:uid="{48EE0C0B-05B7-4371-9D28-C5B1A089241F}" name="PercentAvg" dataDxfId="2" dataCellStyle="Percent"/>
    <tableColumn id="6" xr3:uid="{30D24E1F-9390-492F-BACF-2A8F3D5C8D5D}" name="PercentMin" dataDxfId="1"/>
    <tableColumn id="7" xr3:uid="{C1EB0996-A2A8-4952-BC49-7EA10D4FBC0B}" name="PercentMax" dataDxfId="0"/>
    <tableColumn id="8" xr3:uid="{35B2FB83-346A-4EAA-887B-8BACA2AF9612}" name="CostMinPSF"/>
    <tableColumn id="9" xr3:uid="{91E4C065-45EB-4AC8-838D-F90EFDDB91BD}" name="CostMaxPSF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23" sqref="A23"/>
    </sheetView>
  </sheetViews>
  <sheetFormatPr defaultRowHeight="15" x14ac:dyDescent="0.25"/>
  <cols>
    <col min="1" max="1" width="49" customWidth="1"/>
    <col min="2" max="2" width="15" customWidth="1"/>
    <col min="3" max="3" width="21.28515625" customWidth="1"/>
    <col min="4" max="4" width="20" customWidth="1"/>
    <col min="5" max="6" width="1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17">
        <v>3697</v>
      </c>
      <c r="C2" s="4">
        <f>$C$6*0.65</f>
        <v>195</v>
      </c>
      <c r="D2" s="4">
        <f>$D$6*0.65</f>
        <v>260</v>
      </c>
      <c r="E2" s="4">
        <f>B2*C2</f>
        <v>720915</v>
      </c>
      <c r="F2" s="4">
        <f>B2*D2</f>
        <v>961220</v>
      </c>
    </row>
    <row r="3" spans="1:6" x14ac:dyDescent="0.25">
      <c r="A3" t="s">
        <v>7</v>
      </c>
      <c r="B3" s="17">
        <v>1050</v>
      </c>
      <c r="C3" s="4">
        <f>$C$6*0.25</f>
        <v>75</v>
      </c>
      <c r="D3" s="4">
        <f>$D$6*0.25</f>
        <v>100</v>
      </c>
      <c r="E3" s="4">
        <f>B3*C3</f>
        <v>78750</v>
      </c>
      <c r="F3" s="4">
        <f>B3*D3</f>
        <v>105000</v>
      </c>
    </row>
    <row r="4" spans="1:6" x14ac:dyDescent="0.25">
      <c r="A4" t="s">
        <v>222</v>
      </c>
      <c r="B4" s="17">
        <v>1401</v>
      </c>
      <c r="C4" s="4">
        <f>$C$6*0.1</f>
        <v>30</v>
      </c>
      <c r="D4" s="4">
        <f>$D$6*0.1</f>
        <v>40</v>
      </c>
      <c r="E4" s="4">
        <f>B4*C4</f>
        <v>42030</v>
      </c>
      <c r="F4" s="4">
        <f>B4*D4</f>
        <v>56040</v>
      </c>
    </row>
    <row r="5" spans="1:6" x14ac:dyDescent="0.25">
      <c r="A5" t="s">
        <v>223</v>
      </c>
      <c r="E5" s="13">
        <f>SUM(E2:E4)</f>
        <v>841695</v>
      </c>
      <c r="F5" s="13">
        <f>SUM(F2:F4)</f>
        <v>1122260</v>
      </c>
    </row>
    <row r="6" spans="1:6" x14ac:dyDescent="0.25">
      <c r="A6" t="s">
        <v>8</v>
      </c>
      <c r="C6" s="4">
        <v>300</v>
      </c>
      <c r="D6" s="4">
        <v>400</v>
      </c>
      <c r="E6" s="155">
        <f>AVERAGE(E5,F5)</f>
        <v>981977.5</v>
      </c>
      <c r="F6" s="155"/>
    </row>
    <row r="8" spans="1:6" x14ac:dyDescent="0.25">
      <c r="B8" s="109"/>
    </row>
    <row r="9" spans="1:6" x14ac:dyDescent="0.25">
      <c r="B9" s="109"/>
    </row>
  </sheetData>
  <mergeCells count="1">
    <mergeCell ref="E6:F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30"/>
  <sheetViews>
    <sheetView tabSelected="1" zoomScale="115" zoomScaleNormal="115" workbookViewId="0">
      <pane ySplit="11" topLeftCell="A12" activePane="bottomLeft" state="frozen"/>
      <selection pane="bottomLeft" activeCell="A12" sqref="A12"/>
    </sheetView>
  </sheetViews>
  <sheetFormatPr defaultRowHeight="15" x14ac:dyDescent="0.25"/>
  <cols>
    <col min="1" max="1" width="49.28515625" customWidth="1"/>
    <col min="2" max="2" width="32.42578125" customWidth="1"/>
    <col min="3" max="3" width="27.42578125" style="8" customWidth="1"/>
    <col min="4" max="4" width="22" bestFit="1" customWidth="1"/>
    <col min="5" max="5" width="18.5703125" customWidth="1"/>
    <col min="6" max="6" width="17.28515625" customWidth="1"/>
    <col min="7" max="7" width="15.42578125" customWidth="1"/>
    <col min="8" max="8" width="14.140625" customWidth="1"/>
  </cols>
  <sheetData>
    <row r="1" spans="1:4" x14ac:dyDescent="0.25">
      <c r="A1" s="2" t="s">
        <v>295</v>
      </c>
      <c r="B1" t="s">
        <v>301</v>
      </c>
      <c r="C1" s="179" t="s">
        <v>308</v>
      </c>
    </row>
    <row r="2" spans="1:4" x14ac:dyDescent="0.25">
      <c r="A2" s="9" t="s">
        <v>296</v>
      </c>
      <c r="B2" t="s">
        <v>297</v>
      </c>
      <c r="C2" s="179" t="s">
        <v>307</v>
      </c>
    </row>
    <row r="3" spans="1:4" x14ac:dyDescent="0.25">
      <c r="A3" s="2" t="s">
        <v>45</v>
      </c>
      <c r="B3" t="s">
        <v>298</v>
      </c>
      <c r="C3" s="179" t="s">
        <v>306</v>
      </c>
    </row>
    <row r="4" spans="1:4" x14ac:dyDescent="0.25">
      <c r="A4" s="2" t="s">
        <v>299</v>
      </c>
      <c r="B4" t="s">
        <v>59</v>
      </c>
      <c r="C4" s="179" t="s">
        <v>305</v>
      </c>
    </row>
    <row r="5" spans="1:4" x14ac:dyDescent="0.25">
      <c r="A5" s="2" t="s">
        <v>303</v>
      </c>
      <c r="B5" t="s">
        <v>304</v>
      </c>
      <c r="C5" s="179" t="s">
        <v>387</v>
      </c>
    </row>
    <row r="6" spans="1:4" x14ac:dyDescent="0.25">
      <c r="A6" s="2" t="s">
        <v>300</v>
      </c>
      <c r="B6">
        <v>3</v>
      </c>
      <c r="C6" s="179" t="s">
        <v>404</v>
      </c>
    </row>
    <row r="7" spans="1:4" x14ac:dyDescent="0.25">
      <c r="A7" s="2" t="s">
        <v>135</v>
      </c>
      <c r="B7" s="17">
        <v>0</v>
      </c>
      <c r="C7" s="8" t="s">
        <v>388</v>
      </c>
    </row>
    <row r="8" spans="1:4" x14ac:dyDescent="0.25">
      <c r="A8" s="9" t="s">
        <v>136</v>
      </c>
      <c r="B8" s="17">
        <v>4000</v>
      </c>
      <c r="C8" s="8" t="s">
        <v>302</v>
      </c>
    </row>
    <row r="9" spans="1:4" ht="30" x14ac:dyDescent="0.25">
      <c r="A9" s="9" t="s">
        <v>134</v>
      </c>
      <c r="B9" s="17">
        <v>1000</v>
      </c>
      <c r="C9" s="8" t="s">
        <v>389</v>
      </c>
    </row>
    <row r="11" spans="1:4" x14ac:dyDescent="0.25">
      <c r="A11" s="2"/>
    </row>
    <row r="12" spans="1:4" x14ac:dyDescent="0.25">
      <c r="A12" s="9" t="s">
        <v>383</v>
      </c>
      <c r="B12" t="s">
        <v>344</v>
      </c>
    </row>
    <row r="13" spans="1:4" x14ac:dyDescent="0.25">
      <c r="A13" s="2" t="s">
        <v>343</v>
      </c>
      <c r="B13">
        <v>1</v>
      </c>
      <c r="C13" s="8">
        <v>1</v>
      </c>
      <c r="D13">
        <v>1.2</v>
      </c>
    </row>
    <row r="14" spans="1:4" x14ac:dyDescent="0.25">
      <c r="A14" s="2" t="s">
        <v>384</v>
      </c>
      <c r="B14">
        <v>0.5</v>
      </c>
    </row>
    <row r="15" spans="1:4" x14ac:dyDescent="0.25">
      <c r="A15" s="2"/>
    </row>
    <row r="18" spans="1:3" x14ac:dyDescent="0.25">
      <c r="A18" s="2" t="s">
        <v>44</v>
      </c>
      <c r="B18" t="str">
        <f>B4 &amp; "|" &amp; B6</f>
        <v>Mid-Range Standard Residential|3</v>
      </c>
      <c r="C18" s="179" t="s">
        <v>334</v>
      </c>
    </row>
    <row r="19" spans="1:3" x14ac:dyDescent="0.25">
      <c r="A19" s="2" t="s">
        <v>335</v>
      </c>
      <c r="B19" s="3">
        <f>B7/(B7+B8)</f>
        <v>0</v>
      </c>
      <c r="C19" s="179" t="s">
        <v>311</v>
      </c>
    </row>
    <row r="20" spans="1:3" x14ac:dyDescent="0.25">
      <c r="A20" s="2" t="s">
        <v>290</v>
      </c>
      <c r="B20" s="3">
        <f>B8/(B7+B8)</f>
        <v>1</v>
      </c>
      <c r="C20" s="179" t="s">
        <v>390</v>
      </c>
    </row>
    <row r="21" spans="1:3" x14ac:dyDescent="0.25">
      <c r="A21" s="2"/>
      <c r="C21" s="179"/>
    </row>
    <row r="22" spans="1:3" x14ac:dyDescent="0.25">
      <c r="A22" s="2" t="s">
        <v>314</v>
      </c>
      <c r="B22" s="4">
        <f>VLOOKUP(B18, Cost_Ranges!$A$2:$J$13,6,FALSE)*B13</f>
        <v>380</v>
      </c>
      <c r="C22" s="179" t="s">
        <v>320</v>
      </c>
    </row>
    <row r="23" spans="1:3" x14ac:dyDescent="0.25">
      <c r="A23" s="2" t="s">
        <v>315</v>
      </c>
      <c r="B23" s="4">
        <f>B22*B14</f>
        <v>190</v>
      </c>
      <c r="C23" s="179" t="s">
        <v>320</v>
      </c>
    </row>
    <row r="24" spans="1:3" x14ac:dyDescent="0.25">
      <c r="C24" s="179"/>
    </row>
    <row r="25" spans="1:3" x14ac:dyDescent="0.25">
      <c r="A25" s="2" t="s">
        <v>318</v>
      </c>
      <c r="B25" s="5">
        <f>(B22+B28)/2</f>
        <v>390</v>
      </c>
      <c r="C25" s="179" t="s">
        <v>321</v>
      </c>
    </row>
    <row r="26" spans="1:3" x14ac:dyDescent="0.25">
      <c r="A26" s="2" t="s">
        <v>319</v>
      </c>
      <c r="B26" s="5">
        <f>(B23+B29)/2</f>
        <v>195</v>
      </c>
      <c r="C26" s="179" t="s">
        <v>321</v>
      </c>
    </row>
    <row r="27" spans="1:3" x14ac:dyDescent="0.25">
      <c r="C27" s="179"/>
    </row>
    <row r="28" spans="1:3" x14ac:dyDescent="0.25">
      <c r="A28" s="2" t="s">
        <v>316</v>
      </c>
      <c r="B28" s="4">
        <f>VLOOKUP(B18, Cost_Ranges!$A$2:$J$13,7,FALSE)*B13</f>
        <v>400</v>
      </c>
      <c r="C28" s="179" t="s">
        <v>322</v>
      </c>
    </row>
    <row r="29" spans="1:3" x14ac:dyDescent="0.25">
      <c r="A29" s="9" t="s">
        <v>317</v>
      </c>
      <c r="B29" s="4">
        <f>B28*B14</f>
        <v>200</v>
      </c>
      <c r="C29" s="179" t="s">
        <v>322</v>
      </c>
    </row>
    <row r="32" spans="1:3" x14ac:dyDescent="0.25">
      <c r="A32" s="2" t="s">
        <v>323</v>
      </c>
      <c r="B32" s="13">
        <f>B33+B34</f>
        <v>780000</v>
      </c>
      <c r="C32" s="175" t="s">
        <v>309</v>
      </c>
    </row>
    <row r="33" spans="1:3" x14ac:dyDescent="0.25">
      <c r="A33" s="2" t="s">
        <v>324</v>
      </c>
      <c r="B33" s="4">
        <f>(B7) * B25</f>
        <v>0</v>
      </c>
    </row>
    <row r="34" spans="1:3" x14ac:dyDescent="0.25">
      <c r="A34" s="2" t="s">
        <v>325</v>
      </c>
      <c r="B34" s="4">
        <f>(B8) * B26</f>
        <v>780000</v>
      </c>
    </row>
    <row r="35" spans="1:3" x14ac:dyDescent="0.25">
      <c r="A35" s="2"/>
      <c r="B35" s="4"/>
    </row>
    <row r="36" spans="1:3" x14ac:dyDescent="0.25">
      <c r="A36" s="2" t="s">
        <v>272</v>
      </c>
      <c r="B36" s="3">
        <f>VLOOKUP(B18, Cost_Ranges!$A$2:$J$13,8,FALSE)</f>
        <v>0.66</v>
      </c>
      <c r="C36" s="179" t="s">
        <v>310</v>
      </c>
    </row>
    <row r="37" spans="1:3" x14ac:dyDescent="0.25">
      <c r="A37" s="2" t="s">
        <v>273</v>
      </c>
      <c r="B37" s="3">
        <f>VLOOKUP(B18, Cost_Ranges!$A$2:$J$13,9,FALSE)</f>
        <v>0.22</v>
      </c>
      <c r="C37" s="179" t="s">
        <v>310</v>
      </c>
    </row>
    <row r="38" spans="1:3" x14ac:dyDescent="0.25">
      <c r="A38" s="2" t="s">
        <v>274</v>
      </c>
      <c r="B38" s="3">
        <f>VLOOKUP(B18, Cost_Ranges!$A$2:$J$13,10,FALSE)</f>
        <v>0.12</v>
      </c>
      <c r="C38" s="179" t="s">
        <v>310</v>
      </c>
    </row>
    <row r="39" spans="1:3" x14ac:dyDescent="0.25">
      <c r="A39" s="2"/>
      <c r="B39" s="3"/>
      <c r="C39" s="179"/>
    </row>
    <row r="40" spans="1:3" x14ac:dyDescent="0.25">
      <c r="A40" s="2" t="s">
        <v>326</v>
      </c>
      <c r="B40" s="13">
        <f>B41+B42</f>
        <v>514800</v>
      </c>
      <c r="C40" s="179" t="s">
        <v>333</v>
      </c>
    </row>
    <row r="41" spans="1:3" x14ac:dyDescent="0.25">
      <c r="A41" s="2" t="s">
        <v>327</v>
      </c>
      <c r="B41" s="4">
        <f>B33 * B36</f>
        <v>0</v>
      </c>
      <c r="C41" s="216" t="s">
        <v>291</v>
      </c>
    </row>
    <row r="42" spans="1:3" x14ac:dyDescent="0.25">
      <c r="A42" s="2" t="s">
        <v>328</v>
      </c>
      <c r="B42" s="4">
        <f>B34 * B36</f>
        <v>514800</v>
      </c>
      <c r="C42" s="216" t="s">
        <v>291</v>
      </c>
    </row>
    <row r="43" spans="1:3" x14ac:dyDescent="0.25">
      <c r="A43" s="2"/>
      <c r="B43" s="4"/>
      <c r="C43" s="179"/>
    </row>
    <row r="44" spans="1:3" x14ac:dyDescent="0.25">
      <c r="A44" s="2" t="s">
        <v>286</v>
      </c>
      <c r="B44" s="13">
        <f>B45+B46</f>
        <v>171600</v>
      </c>
      <c r="C44" s="179" t="s">
        <v>333</v>
      </c>
    </row>
    <row r="45" spans="1:3" x14ac:dyDescent="0.25">
      <c r="A45" s="2" t="s">
        <v>329</v>
      </c>
      <c r="B45" s="4">
        <f>B33*B37</f>
        <v>0</v>
      </c>
      <c r="C45" s="216" t="s">
        <v>291</v>
      </c>
    </row>
    <row r="46" spans="1:3" x14ac:dyDescent="0.25">
      <c r="A46" s="2" t="s">
        <v>330</v>
      </c>
      <c r="B46" s="4">
        <f>B34*B37</f>
        <v>171600</v>
      </c>
      <c r="C46" s="216" t="s">
        <v>291</v>
      </c>
    </row>
    <row r="47" spans="1:3" x14ac:dyDescent="0.25">
      <c r="A47" s="2"/>
      <c r="B47" s="4"/>
      <c r="C47" s="179"/>
    </row>
    <row r="48" spans="1:3" x14ac:dyDescent="0.25">
      <c r="A48" s="2" t="s">
        <v>287</v>
      </c>
      <c r="B48" s="13">
        <f>B49+B50</f>
        <v>93600</v>
      </c>
      <c r="C48" s="179" t="s">
        <v>333</v>
      </c>
    </row>
    <row r="49" spans="1:4" x14ac:dyDescent="0.25">
      <c r="A49" s="2" t="s">
        <v>331</v>
      </c>
      <c r="B49" s="4">
        <f>B33*B38</f>
        <v>0</v>
      </c>
      <c r="C49" s="216" t="s">
        <v>291</v>
      </c>
    </row>
    <row r="50" spans="1:4" x14ac:dyDescent="0.25">
      <c r="A50" s="2" t="s">
        <v>332</v>
      </c>
      <c r="B50" s="4">
        <f>B34*B38</f>
        <v>93600</v>
      </c>
      <c r="C50" s="216" t="s">
        <v>291</v>
      </c>
    </row>
    <row r="51" spans="1:4" x14ac:dyDescent="0.25">
      <c r="B51" s="9" t="s">
        <v>393</v>
      </c>
      <c r="C51" s="175" t="s">
        <v>394</v>
      </c>
    </row>
    <row r="52" spans="1:4" ht="31.5" customHeight="1" x14ac:dyDescent="0.25">
      <c r="A52" s="2" t="s">
        <v>275</v>
      </c>
      <c r="B52" s="166">
        <f>(1-(IFERROR(VLOOKUP($B$4 &amp; "|" &amp; $B$6 &amp; "|" &amp; "Structural", Engineering_Costs!$A$2:$I$55, 5, FALSE), 0)+IFERROR(VLOOKUP($B$4 &amp; "|" &amp; $B$6 &amp; "|" &amp; "Civil &amp; Site", Engineering_Costs!$A$2:$I$55, 5, FALSE), 0)+IFERROR(VLOOKUP($B$4 &amp; "|" &amp; $B$6 &amp; "|" &amp; "Mechanical", Engineering_Costs!$A$2:$I$55, 5, FALSE), 0)+IFERROR(VLOOKUP($B$4 &amp; "|" &amp; $B$6 &amp; "|" &amp; "Electrical", Engineering_Costs!$A$2:$I$55, 5, FALSE), 0)+IFERROR(VLOOKUP($B$4 &amp; "|" &amp; $B$6 &amp; "|" &amp; "Plumbing", Engineering_Costs!$A$2:$I$55, 5, FALSE), 0)+IFERROR(VLOOKUP($B$4 &amp; "|" &amp; $B$6 &amp; "|" &amp; "Low-Voltage", Engineering_Costs!$A$2:$I$55, 5, FALSE), 0)))*$B$36</f>
        <v>0.35310000000000002</v>
      </c>
      <c r="C52" s="176">
        <f>1-SUM(C53:C60)</f>
        <v>0.43889999999999996</v>
      </c>
    </row>
    <row r="53" spans="1:4" ht="19.5" customHeight="1" x14ac:dyDescent="0.25">
      <c r="A53" s="2" t="s">
        <v>276</v>
      </c>
      <c r="B53" s="6">
        <f>B37</f>
        <v>0.22</v>
      </c>
      <c r="C53" s="176">
        <f>B53</f>
        <v>0.22</v>
      </c>
    </row>
    <row r="54" spans="1:4" x14ac:dyDescent="0.25">
      <c r="A54" s="2" t="s">
        <v>277</v>
      </c>
      <c r="B54" s="6">
        <f>B38</f>
        <v>0.12</v>
      </c>
      <c r="C54" s="176">
        <f>B54</f>
        <v>0.12</v>
      </c>
    </row>
    <row r="55" spans="1:4" x14ac:dyDescent="0.25">
      <c r="A55" s="2" t="s">
        <v>278</v>
      </c>
      <c r="B55" s="6">
        <f xml:space="preserve"> IFERROR(VLOOKUP($B$4 &amp; "|" &amp; $B$6 &amp; "|" &amp; "Structural", Engineering_Costs!$A$2:$I$55, 5, FALSE), 0)*$B$36</f>
        <v>0.1716</v>
      </c>
      <c r="C55" s="166">
        <f>B55*B14</f>
        <v>8.5800000000000001E-2</v>
      </c>
    </row>
    <row r="56" spans="1:4" x14ac:dyDescent="0.25">
      <c r="A56" s="2" t="s">
        <v>279</v>
      </c>
      <c r="B56" s="6">
        <f xml:space="preserve"> IFERROR(VLOOKUP($B$4 &amp; "|" &amp; $B$6 &amp; "|" &amp; "Civil &amp; Site", Engineering_Costs!$A$2:$I$55, 5, FALSE), 0)*$B$36</f>
        <v>3.3000000000000002E-2</v>
      </c>
      <c r="C56" s="176">
        <f>B56</f>
        <v>3.3000000000000002E-2</v>
      </c>
    </row>
    <row r="57" spans="1:4" x14ac:dyDescent="0.25">
      <c r="A57" s="2" t="s">
        <v>280</v>
      </c>
      <c r="B57" s="6">
        <f>IFERROR(VLOOKUP($B$4 &amp; "|" &amp; $B$6 &amp; "|" &amp; "Mechanical", Engineering_Costs!$A$2:$I$55, 5, FALSE), 0)*$B$36</f>
        <v>3.9600000000000003E-2</v>
      </c>
      <c r="C57" s="176">
        <f t="shared" ref="C57:C60" si="0">B57</f>
        <v>3.9600000000000003E-2</v>
      </c>
    </row>
    <row r="58" spans="1:4" x14ac:dyDescent="0.25">
      <c r="A58" s="2" t="s">
        <v>281</v>
      </c>
      <c r="B58" s="6">
        <f>IFERROR(VLOOKUP($B$4 &amp; "|" &amp; $B$6 &amp; "|" &amp; "Electrical", Engineering_Costs!$A$2:$I$55, 5, FALSE), 0)*$B$36</f>
        <v>2.9700000000000001E-2</v>
      </c>
      <c r="C58" s="176">
        <f t="shared" si="0"/>
        <v>2.9700000000000001E-2</v>
      </c>
    </row>
    <row r="59" spans="1:4" x14ac:dyDescent="0.25">
      <c r="A59" s="2" t="s">
        <v>282</v>
      </c>
      <c r="B59" s="6">
        <f>IFERROR(VLOOKUP($B$4 &amp; "|" &amp; $B$6 &amp; "|" &amp; "Plumbing", Engineering_Costs!$A$2:$I$55, 5, FALSE), 0)*$B$36</f>
        <v>2.3100000000000002E-2</v>
      </c>
      <c r="C59" s="176">
        <f t="shared" si="0"/>
        <v>2.3100000000000002E-2</v>
      </c>
    </row>
    <row r="60" spans="1:4" x14ac:dyDescent="0.25">
      <c r="A60" s="2" t="s">
        <v>283</v>
      </c>
      <c r="B60" s="6">
        <f>IFERROR(VLOOKUP($B$4 &amp; "|" &amp; $B$6 &amp; "|" &amp; "Low-Voltage", Engineering_Costs!$A$2:$I$55, 5, FALSE), 0)*$B$36</f>
        <v>9.9000000000000008E-3</v>
      </c>
      <c r="C60" s="176">
        <f t="shared" si="0"/>
        <v>9.9000000000000008E-3</v>
      </c>
    </row>
    <row r="61" spans="1:4" x14ac:dyDescent="0.25">
      <c r="A61" s="2"/>
    </row>
    <row r="62" spans="1:4" ht="45" x14ac:dyDescent="0.25">
      <c r="A62" s="2" t="s">
        <v>125</v>
      </c>
      <c r="B62" s="5">
        <f>B63+B64</f>
        <v>342341.99999999994</v>
      </c>
      <c r="C62" s="166" t="s">
        <v>312</v>
      </c>
      <c r="D62" s="6"/>
    </row>
    <row r="63" spans="1:4" ht="30" x14ac:dyDescent="0.25">
      <c r="A63" s="2" t="s">
        <v>289</v>
      </c>
      <c r="B63" s="5">
        <f>B33*B52</f>
        <v>0</v>
      </c>
      <c r="C63" s="166" t="s">
        <v>338</v>
      </c>
      <c r="D63" s="6"/>
    </row>
    <row r="64" spans="1:4" ht="30" x14ac:dyDescent="0.25">
      <c r="A64" s="2" t="s">
        <v>290</v>
      </c>
      <c r="B64" s="5">
        <f>B34*C52</f>
        <v>342341.99999999994</v>
      </c>
      <c r="C64" s="166" t="s">
        <v>338</v>
      </c>
      <c r="D64" s="6"/>
    </row>
    <row r="65" spans="1:6" x14ac:dyDescent="0.25">
      <c r="A65" s="2"/>
      <c r="B65" s="5"/>
      <c r="C65" s="166"/>
      <c r="D65" s="6"/>
    </row>
    <row r="66" spans="1:6" ht="45" x14ac:dyDescent="0.25">
      <c r="A66" s="2" t="s">
        <v>284</v>
      </c>
      <c r="B66" s="5">
        <f>B67+B68</f>
        <v>171600</v>
      </c>
      <c r="C66" s="166" t="s">
        <v>312</v>
      </c>
    </row>
    <row r="67" spans="1:6" ht="30" x14ac:dyDescent="0.25">
      <c r="A67" s="2" t="s">
        <v>289</v>
      </c>
      <c r="B67" s="5">
        <f>B45</f>
        <v>0</v>
      </c>
      <c r="C67" s="166" t="s">
        <v>338</v>
      </c>
      <c r="D67" s="6"/>
    </row>
    <row r="68" spans="1:6" ht="30" x14ac:dyDescent="0.25">
      <c r="A68" s="2" t="s">
        <v>290</v>
      </c>
      <c r="B68" s="5">
        <f>B46</f>
        <v>171600</v>
      </c>
      <c r="C68" s="166" t="s">
        <v>338</v>
      </c>
      <c r="D68" s="6"/>
    </row>
    <row r="69" spans="1:6" x14ac:dyDescent="0.25">
      <c r="A69" s="2"/>
      <c r="B69" s="5"/>
    </row>
    <row r="70" spans="1:6" ht="45" x14ac:dyDescent="0.25">
      <c r="A70" s="2" t="s">
        <v>285</v>
      </c>
      <c r="B70" s="5">
        <f>B71+B72</f>
        <v>93600</v>
      </c>
      <c r="C70" s="166" t="s">
        <v>312</v>
      </c>
    </row>
    <row r="71" spans="1:6" ht="30" x14ac:dyDescent="0.25">
      <c r="A71" s="2" t="s">
        <v>289</v>
      </c>
      <c r="B71" s="5">
        <f>B49</f>
        <v>0</v>
      </c>
      <c r="C71" s="166" t="s">
        <v>338</v>
      </c>
      <c r="D71" s="6"/>
    </row>
    <row r="72" spans="1:6" ht="30" x14ac:dyDescent="0.25">
      <c r="A72" s="2" t="s">
        <v>290</v>
      </c>
      <c r="B72" s="5">
        <f>B50</f>
        <v>93600</v>
      </c>
      <c r="C72" s="166" t="s">
        <v>338</v>
      </c>
      <c r="D72" s="6"/>
    </row>
    <row r="73" spans="1:6" x14ac:dyDescent="0.25">
      <c r="A73" s="2"/>
      <c r="B73" s="5"/>
    </row>
    <row r="74" spans="1:6" ht="45" x14ac:dyDescent="0.25">
      <c r="A74" s="2" t="s">
        <v>126</v>
      </c>
      <c r="B74" s="5">
        <f>B75+B76</f>
        <v>66924</v>
      </c>
      <c r="C74" s="166" t="s">
        <v>312</v>
      </c>
      <c r="D74" s="6"/>
      <c r="E74" s="167"/>
      <c r="F74" s="167"/>
    </row>
    <row r="75" spans="1:6" ht="30" x14ac:dyDescent="0.25">
      <c r="A75" s="2" t="s">
        <v>289</v>
      </c>
      <c r="B75" s="5">
        <f>(B41*IFERROR(VLOOKUP($B$4 &amp; "|" &amp; $B$6 &amp; "|" &amp; "Structural", Engineering_Costs!$A$2:$I$55, 5, FALSE), 0))</f>
        <v>0</v>
      </c>
      <c r="C75" s="166" t="s">
        <v>338</v>
      </c>
      <c r="D75" s="6"/>
    </row>
    <row r="76" spans="1:6" ht="30" x14ac:dyDescent="0.25">
      <c r="A76" s="2" t="s">
        <v>290</v>
      </c>
      <c r="B76" s="5">
        <f>(B42*IFERROR(VLOOKUP($B$4 &amp; "|" &amp; $B$6 &amp; "|" &amp; "Structural", Engineering_Costs!$A$2:$I$55, 5, FALSE), 0))*B14</f>
        <v>66924</v>
      </c>
      <c r="C76" s="166" t="s">
        <v>338</v>
      </c>
      <c r="D76" s="6"/>
    </row>
    <row r="77" spans="1:6" x14ac:dyDescent="0.25">
      <c r="A77" s="2"/>
      <c r="B77" s="4"/>
      <c r="C77" s="166"/>
    </row>
    <row r="78" spans="1:6" ht="45" x14ac:dyDescent="0.25">
      <c r="A78" s="2" t="s">
        <v>127</v>
      </c>
      <c r="B78" s="4">
        <f>B79+B80</f>
        <v>25740</v>
      </c>
      <c r="C78" s="166" t="s">
        <v>312</v>
      </c>
      <c r="D78" s="7"/>
      <c r="E78" s="5"/>
      <c r="F78" s="5"/>
    </row>
    <row r="79" spans="1:6" ht="30" x14ac:dyDescent="0.25">
      <c r="A79" s="2" t="s">
        <v>289</v>
      </c>
      <c r="B79" s="5">
        <f>(B41 * IFERROR(VLOOKUP($B$4 &amp; "|" &amp; $B$6 &amp; "|" &amp; "Civil &amp; Site", Engineering_Costs!$A$2:$I$55, 5, FALSE), 0))</f>
        <v>0</v>
      </c>
      <c r="C79" s="166" t="s">
        <v>338</v>
      </c>
      <c r="D79" s="6"/>
    </row>
    <row r="80" spans="1:6" ht="30" x14ac:dyDescent="0.25">
      <c r="A80" s="2" t="s">
        <v>290</v>
      </c>
      <c r="B80" s="5">
        <f>(B42 * IFERROR(VLOOKUP($B$4 &amp; "|" &amp; $B$6 &amp; "|" &amp; "Civil &amp; Site", Engineering_Costs!$A$2:$I$55, 5, FALSE), 0))</f>
        <v>25740</v>
      </c>
      <c r="C80" s="166" t="s">
        <v>338</v>
      </c>
      <c r="D80" s="6"/>
    </row>
    <row r="81" spans="1:6" x14ac:dyDescent="0.25">
      <c r="A81" s="2"/>
      <c r="B81" s="4"/>
      <c r="C81" s="166"/>
      <c r="D81" s="7"/>
      <c r="E81" s="5"/>
      <c r="F81" s="5"/>
    </row>
    <row r="82" spans="1:6" ht="45" x14ac:dyDescent="0.25">
      <c r="A82" s="2" t="s">
        <v>128</v>
      </c>
      <c r="B82" s="4">
        <f>B83+B84</f>
        <v>30888</v>
      </c>
      <c r="C82" s="166" t="s">
        <v>312</v>
      </c>
      <c r="D82" s="7"/>
      <c r="E82" s="5"/>
      <c r="F82" s="5"/>
    </row>
    <row r="83" spans="1:6" ht="30" x14ac:dyDescent="0.25">
      <c r="A83" s="2" t="s">
        <v>289</v>
      </c>
      <c r="B83" s="5">
        <f>(IFERROR(VLOOKUP($B$4 &amp; "|" &amp; $B$6 &amp; "|" &amp; "Mechanical", Engineering_Costs!$A$2:$I$55, 5, FALSE), 0))*B41</f>
        <v>0</v>
      </c>
      <c r="C83" s="166" t="s">
        <v>338</v>
      </c>
      <c r="D83" s="6"/>
    </row>
    <row r="84" spans="1:6" ht="30" x14ac:dyDescent="0.25">
      <c r="A84" s="2" t="s">
        <v>290</v>
      </c>
      <c r="B84" s="5">
        <f>(IFERROR(VLOOKUP($B$4 &amp; "|" &amp; $B$6 &amp; "|" &amp; "Mechanical", Engineering_Costs!$A$2:$I$55, 5, FALSE), 0))*B42</f>
        <v>30888</v>
      </c>
      <c r="C84" s="166" t="s">
        <v>338</v>
      </c>
      <c r="D84" s="6"/>
    </row>
    <row r="85" spans="1:6" x14ac:dyDescent="0.25">
      <c r="A85" s="2"/>
      <c r="B85" s="4"/>
      <c r="C85" s="166"/>
      <c r="D85" s="7"/>
      <c r="E85" s="5"/>
      <c r="F85" s="5"/>
    </row>
    <row r="86" spans="1:6" ht="45" x14ac:dyDescent="0.25">
      <c r="A86" s="2" t="s">
        <v>129</v>
      </c>
      <c r="B86" s="4">
        <f>B87+B88</f>
        <v>23166</v>
      </c>
      <c r="C86" s="166" t="s">
        <v>312</v>
      </c>
      <c r="E86" s="5"/>
      <c r="F86" s="5"/>
    </row>
    <row r="87" spans="1:6" ht="30" x14ac:dyDescent="0.25">
      <c r="A87" s="2" t="s">
        <v>289</v>
      </c>
      <c r="B87" s="5">
        <f>(IFERROR(VLOOKUP($B$4 &amp; "|" &amp; $B$6 &amp; "|" &amp; "Electrical", Engineering_Costs!$A$2:$I$55, 5, FALSE), 0))*B41</f>
        <v>0</v>
      </c>
      <c r="C87" s="166" t="s">
        <v>338</v>
      </c>
      <c r="D87" s="6"/>
    </row>
    <row r="88" spans="1:6" ht="30" x14ac:dyDescent="0.25">
      <c r="A88" s="2" t="s">
        <v>290</v>
      </c>
      <c r="B88" s="5">
        <f>(IFERROR(VLOOKUP($B$4 &amp; "|" &amp; $B$6 &amp; "|" &amp; "Electrical", Engineering_Costs!$A$2:$I$55, 5, FALSE), 0))*B42</f>
        <v>23166</v>
      </c>
      <c r="C88" s="166" t="s">
        <v>338</v>
      </c>
      <c r="D88" s="6"/>
    </row>
    <row r="89" spans="1:6" x14ac:dyDescent="0.25">
      <c r="A89" s="2"/>
      <c r="B89" s="4"/>
      <c r="C89" s="166"/>
      <c r="E89" s="5"/>
      <c r="F89" s="5"/>
    </row>
    <row r="90" spans="1:6" ht="45" x14ac:dyDescent="0.25">
      <c r="A90" s="2" t="s">
        <v>130</v>
      </c>
      <c r="B90" s="4">
        <f>B91+B92</f>
        <v>18018</v>
      </c>
      <c r="C90" s="166" t="s">
        <v>312</v>
      </c>
      <c r="E90" s="5"/>
      <c r="F90" s="5"/>
    </row>
    <row r="91" spans="1:6" ht="30" x14ac:dyDescent="0.25">
      <c r="A91" s="2" t="s">
        <v>289</v>
      </c>
      <c r="B91" s="5">
        <f>(IFERROR(VLOOKUP($B$4 &amp; "|" &amp; $B$6 &amp; "|" &amp; "Plumbing", Engineering_Costs!$A$2:$I$55, 5, FALSE), 0))*B41</f>
        <v>0</v>
      </c>
      <c r="C91" s="166" t="s">
        <v>338</v>
      </c>
      <c r="D91" s="6"/>
    </row>
    <row r="92" spans="1:6" ht="30" x14ac:dyDescent="0.25">
      <c r="A92" s="2" t="s">
        <v>290</v>
      </c>
      <c r="B92" s="5">
        <f>(IFERROR(VLOOKUP($B$4 &amp; "|" &amp; $B$6 &amp; "|" &amp; "Plumbing", Engineering_Costs!$A$2:$I$55, 5, FALSE), 0))*B42</f>
        <v>18018</v>
      </c>
      <c r="C92" s="166" t="s">
        <v>338</v>
      </c>
      <c r="D92" s="6"/>
    </row>
    <row r="93" spans="1:6" x14ac:dyDescent="0.25">
      <c r="A93" s="2"/>
      <c r="B93" s="4"/>
      <c r="C93" s="166"/>
      <c r="E93" s="5"/>
      <c r="F93" s="5"/>
    </row>
    <row r="94" spans="1:6" ht="45" x14ac:dyDescent="0.25">
      <c r="A94" s="2" t="s">
        <v>288</v>
      </c>
      <c r="B94" s="4">
        <f>B95+B96</f>
        <v>7722</v>
      </c>
      <c r="C94" s="166" t="s">
        <v>312</v>
      </c>
      <c r="E94" s="5"/>
      <c r="F94" s="5"/>
    </row>
    <row r="95" spans="1:6" ht="30" x14ac:dyDescent="0.25">
      <c r="A95" s="2" t="s">
        <v>289</v>
      </c>
      <c r="B95" s="5">
        <f>(IFERROR(VLOOKUP($B$4 &amp; "|" &amp; $B$6 &amp; "|" &amp; "Low-Voltage", Engineering_Costs!$A$2:$I$55, 5, FALSE), 0))*B41</f>
        <v>0</v>
      </c>
      <c r="C95" s="166" t="s">
        <v>338</v>
      </c>
      <c r="D95" s="6"/>
    </row>
    <row r="96" spans="1:6" ht="30" x14ac:dyDescent="0.25">
      <c r="A96" s="2" t="s">
        <v>290</v>
      </c>
      <c r="B96" s="5">
        <f>(IFERROR(VLOOKUP($B$4 &amp; "|" &amp; $B$6 &amp; "|" &amp; "Low-Voltage", Engineering_Costs!$A$2:$I$55, 5, FALSE), 0))*B42</f>
        <v>7722</v>
      </c>
      <c r="C96" s="166" t="s">
        <v>338</v>
      </c>
      <c r="D96" s="6"/>
    </row>
    <row r="97" spans="1:9" x14ac:dyDescent="0.25">
      <c r="A97" s="2"/>
      <c r="B97" s="5"/>
      <c r="C97" s="176"/>
      <c r="E97" s="5"/>
      <c r="F97" s="5"/>
    </row>
    <row r="98" spans="1:9" ht="21" x14ac:dyDescent="0.35">
      <c r="A98" s="149" t="s">
        <v>313</v>
      </c>
      <c r="B98" s="111">
        <f>B62+B66+B70+B74+B78+B82+B86+B90+B94</f>
        <v>780000</v>
      </c>
      <c r="E98" s="5"/>
      <c r="F98" s="5"/>
    </row>
    <row r="99" spans="1:9" ht="30.75" x14ac:dyDescent="0.3">
      <c r="A99" s="2" t="s">
        <v>289</v>
      </c>
      <c r="B99" s="111">
        <f>B63+B67+B71+B75+B79+B83+B87+B91+B95</f>
        <v>0</v>
      </c>
      <c r="C99" s="166" t="s">
        <v>291</v>
      </c>
      <c r="E99" s="5"/>
      <c r="F99" s="5"/>
      <c r="G99" s="6"/>
    </row>
    <row r="100" spans="1:9" ht="30.75" x14ac:dyDescent="0.3">
      <c r="A100" s="2" t="s">
        <v>290</v>
      </c>
      <c r="B100" s="111">
        <f>B64+B68+B72+B76+B80+B84+B88+B92+B96</f>
        <v>780000</v>
      </c>
      <c r="C100" s="166" t="s">
        <v>291</v>
      </c>
      <c r="E100" s="5"/>
      <c r="F100" s="5"/>
    </row>
    <row r="101" spans="1:9" x14ac:dyDescent="0.25">
      <c r="E101" s="5"/>
      <c r="F101" s="5"/>
    </row>
    <row r="102" spans="1:9" x14ac:dyDescent="0.25">
      <c r="E102" s="5"/>
      <c r="F102" s="5"/>
    </row>
    <row r="103" spans="1:9" x14ac:dyDescent="0.25">
      <c r="E103" s="5"/>
      <c r="F103" s="5"/>
    </row>
    <row r="104" spans="1:9" ht="30" x14ac:dyDescent="0.25">
      <c r="A104" s="9" t="s">
        <v>342</v>
      </c>
      <c r="B104" s="9">
        <v>1.3</v>
      </c>
      <c r="C104" s="8" t="s">
        <v>337</v>
      </c>
      <c r="E104" s="5"/>
      <c r="F104" s="5"/>
    </row>
    <row r="105" spans="1:9" x14ac:dyDescent="0.25">
      <c r="A105" s="9" t="s">
        <v>347</v>
      </c>
      <c r="B105" s="124">
        <v>0.15</v>
      </c>
    </row>
    <row r="106" spans="1:9" x14ac:dyDescent="0.25">
      <c r="A106" s="9" t="s">
        <v>183</v>
      </c>
      <c r="B106" s="168">
        <v>1</v>
      </c>
    </row>
    <row r="110" spans="1:9" ht="31.5" customHeight="1" x14ac:dyDescent="0.25">
      <c r="A110" s="9" t="s">
        <v>345</v>
      </c>
      <c r="B110" s="5">
        <f>$B$94</f>
        <v>7722</v>
      </c>
    </row>
    <row r="111" spans="1:9" ht="30" x14ac:dyDescent="0.25">
      <c r="A111" s="1" t="s">
        <v>9</v>
      </c>
      <c r="B111" s="1" t="s">
        <v>341</v>
      </c>
      <c r="C111" s="175" t="s">
        <v>245</v>
      </c>
      <c r="D111" s="1" t="s">
        <v>213</v>
      </c>
      <c r="E111" s="170" t="s">
        <v>380</v>
      </c>
      <c r="F111" s="170" t="s">
        <v>348</v>
      </c>
      <c r="G111" s="8" t="s">
        <v>346</v>
      </c>
      <c r="H111" s="191" t="s">
        <v>216</v>
      </c>
      <c r="I111" s="10"/>
    </row>
    <row r="112" spans="1:9" x14ac:dyDescent="0.25">
      <c r="A112" t="s">
        <v>339</v>
      </c>
      <c r="C112" s="190">
        <f>(0.6+0.006*((1000+$B$8)/1000000)^(-0.7495))*B104</f>
        <v>1.1937295915530965</v>
      </c>
      <c r="D112" s="187">
        <f>C112*B8</f>
        <v>4774.918366212386</v>
      </c>
      <c r="E112" s="192">
        <f>D112</f>
        <v>4774.918366212386</v>
      </c>
      <c r="F112" s="174">
        <f>E112/$G$138</f>
        <v>29.11535589153894</v>
      </c>
      <c r="G112" s="187">
        <v>0</v>
      </c>
      <c r="H112" s="187">
        <v>0</v>
      </c>
    </row>
    <row r="113" spans="1:8" x14ac:dyDescent="0.25">
      <c r="A113" t="s">
        <v>340</v>
      </c>
      <c r="C113" s="189">
        <f>(1+0.00091*($B$9/1000000)^(-0.005))*B104/(3.28^2)+0.08</f>
        <v>0.20094963685893646</v>
      </c>
      <c r="D113" s="187">
        <f>C113*(B9*(3.28^2))</f>
        <v>2161.8965731831818</v>
      </c>
      <c r="E113" s="192">
        <f t="shared" ref="E113:E118" si="1">D113</f>
        <v>2161.8965731831818</v>
      </c>
      <c r="F113" s="174">
        <f>E113/$G$138</f>
        <v>13.182296177946231</v>
      </c>
      <c r="G113" s="187">
        <v>0</v>
      </c>
      <c r="H113" s="187">
        <v>0</v>
      </c>
    </row>
    <row r="114" spans="1:8" x14ac:dyDescent="0.25">
      <c r="A114" t="s">
        <v>214</v>
      </c>
      <c r="B114" s="6">
        <f>((((0.07498+0.007824*($B$40/1000000)^(-0.7495))*($B$104)*$B$99*0.95)+((0.07498+0.007824*($B$40/1000000)^(-0.7495))*($B$104)*$B$100*1.05))/$B$98)*(1+(1-$B$14))</f>
        <v>0.17987149225492699</v>
      </c>
      <c r="C114" s="190">
        <f>D114/($B$7+$B$8)</f>
        <v>15.394391600384051</v>
      </c>
      <c r="D114" s="188">
        <f>B114*B62</f>
        <v>61577.566401536205</v>
      </c>
      <c r="E114" s="192">
        <f t="shared" si="1"/>
        <v>61577.566401536205</v>
      </c>
      <c r="F114" s="174">
        <f t="shared" ref="F114:F122" si="2">E114/$G$138</f>
        <v>375.47296586302565</v>
      </c>
      <c r="G114" s="187">
        <v>0</v>
      </c>
      <c r="H114" s="187">
        <v>0</v>
      </c>
    </row>
    <row r="115" spans="1:8" x14ac:dyDescent="0.25">
      <c r="A115" t="s">
        <v>243</v>
      </c>
      <c r="B115" s="6">
        <f>((((0.07498+0.007824*($B$48/1000000)^(-0.7495))*($B$104)*$B$99*0.95)+((0.07498+0.007824*($B$48/1000000)^(-0.7495))*($B$104)*$B$100*1.05))/$B$98)*(1+(1-$B$14))</f>
        <v>0.24807589784455314</v>
      </c>
      <c r="C115" s="190">
        <f t="shared" ref="C115:C122" si="3">D115/($B$7+$B$8)</f>
        <v>10.642456017531329</v>
      </c>
      <c r="D115" s="188">
        <f>B115*B44</f>
        <v>42569.824070125316</v>
      </c>
      <c r="E115" s="192">
        <f t="shared" si="1"/>
        <v>42569.824070125316</v>
      </c>
      <c r="F115" s="174">
        <f t="shared" si="2"/>
        <v>259.572097988569</v>
      </c>
      <c r="G115" s="187">
        <v>0</v>
      </c>
      <c r="H115" s="187">
        <v>0</v>
      </c>
    </row>
    <row r="116" spans="1:8" x14ac:dyDescent="0.25">
      <c r="A116" t="s">
        <v>11</v>
      </c>
      <c r="B116" s="6">
        <f>((((0.07498+0.007824*($B$44/1000000)^(-0.7495))*($B$104)*$B$99*0.95)+((0.07498+0.007824*($B$44/1000000)^(-0.7495))*($B$104)*$B$100*1.05))/$B$98)*(1+(1-B14))</f>
        <v>0.21355344437343393</v>
      </c>
      <c r="C116" s="190">
        <f t="shared" si="3"/>
        <v>4.9971505983383544</v>
      </c>
      <c r="D116" s="188">
        <f>B116*B48</f>
        <v>19988.602393353416</v>
      </c>
      <c r="E116" s="192">
        <f t="shared" si="1"/>
        <v>19988.602393353416</v>
      </c>
      <c r="F116" s="174">
        <f t="shared" si="2"/>
        <v>121.88172191069157</v>
      </c>
      <c r="G116" s="187">
        <v>0</v>
      </c>
      <c r="H116" s="187">
        <v>0</v>
      </c>
    </row>
    <row r="117" spans="1:8" x14ac:dyDescent="0.25">
      <c r="A117" t="s">
        <v>13</v>
      </c>
      <c r="B117" s="6">
        <f>(((0.07498+0.007824*($B$74/1000000)^(-0.7495))*($B$104)*$B$99*0.95)+((0.07498+0.007824*($B$74/1000000)^(-0.7495))*($B$104)*$B$100*1.05))/$B$98</f>
        <v>0.18340420356798845</v>
      </c>
      <c r="C117" s="190">
        <f t="shared" si="3"/>
        <v>3.068535729896015</v>
      </c>
      <c r="D117" s="188">
        <f>B117*B74</f>
        <v>12274.142919584059</v>
      </c>
      <c r="E117" s="192">
        <f t="shared" si="1"/>
        <v>12274.142919584059</v>
      </c>
      <c r="F117" s="174">
        <f t="shared" si="2"/>
        <v>74.842334875512563</v>
      </c>
      <c r="G117" s="187">
        <v>0</v>
      </c>
      <c r="H117" s="187">
        <v>0</v>
      </c>
    </row>
    <row r="118" spans="1:8" x14ac:dyDescent="0.25">
      <c r="A118" t="s">
        <v>12</v>
      </c>
      <c r="B118" s="6">
        <f>(((0.07498+0.007824*($B$78/1000000)^(-0.7495))*($B$104)*$B$99*0.95)+((0.07498+0.007824*($B$78/1000000)^(-0.7495))*($B$104)*$B$100*1.05))/$B$98</f>
        <v>0.26823395032080066</v>
      </c>
      <c r="C118" s="190">
        <f t="shared" si="3"/>
        <v>1.7260854703143522</v>
      </c>
      <c r="D118" s="188">
        <f>B118*B78</f>
        <v>6904.3418812574091</v>
      </c>
      <c r="E118" s="192">
        <f t="shared" si="1"/>
        <v>6904.3418812574091</v>
      </c>
      <c r="F118" s="174">
        <f t="shared" si="2"/>
        <v>42.099645617423228</v>
      </c>
      <c r="G118" s="187">
        <v>0</v>
      </c>
      <c r="H118" s="187">
        <v>0</v>
      </c>
    </row>
    <row r="119" spans="1:8" x14ac:dyDescent="0.25">
      <c r="A119" t="s">
        <v>14</v>
      </c>
      <c r="B119" s="6">
        <f>(((0.07498+0.007824*($B$82/1000000)^(-0.7495))*($B$104)*$B$99*0.95)+((0.07498+0.007824*($B$82/1000000)^(-0.7495))*($B$104)*$B$100*1.05))/$B$98</f>
        <v>0.24704620583365397</v>
      </c>
      <c r="C119" s="190">
        <f t="shared" si="3"/>
        <v>1.9076908014474758</v>
      </c>
      <c r="D119" s="188">
        <f>B119*B82</f>
        <v>7630.7632057899036</v>
      </c>
      <c r="E119" s="192">
        <v>0</v>
      </c>
      <c r="F119" s="174">
        <f t="shared" si="2"/>
        <v>0</v>
      </c>
      <c r="G119" s="188">
        <f>H119*B105</f>
        <v>1144.6144808684855</v>
      </c>
      <c r="H119" s="188">
        <f>D119</f>
        <v>7630.7632057899036</v>
      </c>
    </row>
    <row r="120" spans="1:8" x14ac:dyDescent="0.25">
      <c r="A120" t="s">
        <v>15</v>
      </c>
      <c r="B120" s="6">
        <f>(((0.07498+0.007824*($B$86/1000000)^(-0.7495))*($B$104)*$B$99*0.95)+((0.07498+0.007824*($B$86/1000000)^(-0.7495))*($B$104)*$B$100*1.05))/$B$98</f>
        <v>0.28186471974012839</v>
      </c>
      <c r="C120" s="190">
        <f t="shared" si="3"/>
        <v>1.6324195243749537</v>
      </c>
      <c r="D120" s="188">
        <f>B120*B86</f>
        <v>6529.6780974998146</v>
      </c>
      <c r="E120" s="192">
        <v>0</v>
      </c>
      <c r="F120" s="174">
        <f t="shared" si="2"/>
        <v>0</v>
      </c>
      <c r="G120" s="188">
        <f>H120*B105</f>
        <v>979.45171462497217</v>
      </c>
      <c r="H120" s="188">
        <f>D120</f>
        <v>6529.6780974998146</v>
      </c>
    </row>
    <row r="121" spans="1:8" x14ac:dyDescent="0.25">
      <c r="A121" t="s">
        <v>16</v>
      </c>
      <c r="B121" s="6">
        <f>(((0.07498+0.007824*($B$90/1000000)^(-0.7495))*($B$104)*$B$99*0.95)+((0.07498+0.007824*($B$90/1000000)^(-0.7495))*($B$104)*$B$100*1.05))/$B$98</f>
        <v>0.31907289855682297</v>
      </c>
      <c r="C121" s="190">
        <f t="shared" si="3"/>
        <v>1.4372638715492092</v>
      </c>
      <c r="D121" s="187">
        <f>B121*B90</f>
        <v>5749.0554861968367</v>
      </c>
      <c r="E121" s="192">
        <f>D121</f>
        <v>5749.0554861968367</v>
      </c>
      <c r="F121" s="174">
        <f t="shared" si="2"/>
        <v>35.055216379249003</v>
      </c>
      <c r="G121" s="188">
        <v>0</v>
      </c>
      <c r="H121" s="188">
        <v>0</v>
      </c>
    </row>
    <row r="122" spans="1:8" ht="15.75" thickBot="1" x14ac:dyDescent="0.3">
      <c r="A122" t="s">
        <v>336</v>
      </c>
      <c r="B122" s="6">
        <f>(((0.07498+0.007824*($B$94/1000000)^(-0.7495))*($B$104)*$B$99*0.95)+((0.07498+0.007824*($B$94/1000000)^(-0.7495))*($B$104)*$B$100*1.05))/$B$98</f>
        <v>0.51133329332736233</v>
      </c>
      <c r="C122" s="190">
        <f t="shared" si="3"/>
        <v>0.98712892276847297</v>
      </c>
      <c r="D122" s="188">
        <f>B122*B94</f>
        <v>3948.515691073892</v>
      </c>
      <c r="E122" s="192">
        <v>0</v>
      </c>
      <c r="F122" s="174">
        <f t="shared" si="2"/>
        <v>0</v>
      </c>
      <c r="G122" s="188">
        <f>H122*B105</f>
        <v>592.27735366108379</v>
      </c>
      <c r="H122" s="188">
        <f>D122</f>
        <v>3948.515691073892</v>
      </c>
    </row>
    <row r="123" spans="1:8" ht="15.75" thickBot="1" x14ac:dyDescent="0.3">
      <c r="A123" s="2" t="s">
        <v>35</v>
      </c>
      <c r="D123" s="169"/>
      <c r="E123" s="193">
        <f>SUM(E112:E122)</f>
        <v>156000.34809144883</v>
      </c>
      <c r="F123" s="195">
        <f>SUM(F112:F122)</f>
        <v>951.22163470395617</v>
      </c>
      <c r="G123" s="188">
        <f>SUM(G112:G122)</f>
        <v>2716.3435491545415</v>
      </c>
      <c r="H123" s="188">
        <f>SUM(H112:H122)</f>
        <v>18108.956994363609</v>
      </c>
    </row>
    <row r="124" spans="1:8" x14ac:dyDescent="0.25">
      <c r="G124" s="6"/>
    </row>
    <row r="126" spans="1:8" x14ac:dyDescent="0.25">
      <c r="A126" s="9" t="s">
        <v>351</v>
      </c>
      <c r="B126" s="9"/>
    </row>
    <row r="127" spans="1:8" x14ac:dyDescent="0.25">
      <c r="A127" t="s">
        <v>353</v>
      </c>
      <c r="B127" t="s">
        <v>349</v>
      </c>
      <c r="C127" s="8" t="s">
        <v>350</v>
      </c>
      <c r="D127" t="s">
        <v>152</v>
      </c>
      <c r="E127" t="s">
        <v>153</v>
      </c>
      <c r="F127" t="s">
        <v>154</v>
      </c>
      <c r="G127" t="s">
        <v>184</v>
      </c>
    </row>
    <row r="128" spans="1:8" x14ac:dyDescent="0.25">
      <c r="A128" t="s">
        <v>352</v>
      </c>
      <c r="B128" s="187">
        <v>26</v>
      </c>
      <c r="C128" s="190">
        <v>26</v>
      </c>
      <c r="D128" s="187">
        <v>26</v>
      </c>
      <c r="E128" s="187">
        <v>26</v>
      </c>
      <c r="F128" s="187">
        <v>26</v>
      </c>
      <c r="G128" s="187"/>
    </row>
    <row r="129" spans="1:7" x14ac:dyDescent="0.25">
      <c r="A129" t="s">
        <v>191</v>
      </c>
      <c r="B129" s="187">
        <v>74318.149999999994</v>
      </c>
      <c r="C129" s="190">
        <v>74318.149999999994</v>
      </c>
      <c r="D129" s="187">
        <v>74318.149999999994</v>
      </c>
      <c r="E129" s="187">
        <v>74318.149999999994</v>
      </c>
      <c r="F129" s="187">
        <v>74318.149999999994</v>
      </c>
      <c r="G129" s="187">
        <v>371590.75</v>
      </c>
    </row>
    <row r="130" spans="1:7" x14ac:dyDescent="0.25">
      <c r="A130" t="s">
        <v>212</v>
      </c>
      <c r="B130" s="187">
        <v>80707.136731682025</v>
      </c>
      <c r="C130" s="190">
        <v>80707.136731682025</v>
      </c>
      <c r="D130" s="187">
        <v>93356.754012697842</v>
      </c>
      <c r="E130" s="187">
        <v>93356.754012697842</v>
      </c>
      <c r="F130" s="187">
        <v>175579.26633930075</v>
      </c>
      <c r="G130" s="187">
        <f>SUM(B130:F130)</f>
        <v>523707.04782806046</v>
      </c>
    </row>
    <row r="131" spans="1:7" x14ac:dyDescent="0.25">
      <c r="A131" s="9" t="s">
        <v>212</v>
      </c>
      <c r="B131" s="183">
        <f>B129+B130</f>
        <v>155025.28673168202</v>
      </c>
      <c r="C131" s="184">
        <f t="shared" ref="C131:F131" si="4">C129+C130</f>
        <v>155025.28673168202</v>
      </c>
      <c r="D131" s="183">
        <f t="shared" si="4"/>
        <v>167674.90401269784</v>
      </c>
      <c r="E131" s="183">
        <f t="shared" si="4"/>
        <v>167674.90401269784</v>
      </c>
      <c r="F131" s="183">
        <f t="shared" si="4"/>
        <v>249897.41633930075</v>
      </c>
      <c r="G131" s="183">
        <f>G129+G130</f>
        <v>895297.79782806046</v>
      </c>
    </row>
    <row r="132" spans="1:7" x14ac:dyDescent="0.25">
      <c r="A132" s="9" t="s">
        <v>182</v>
      </c>
    </row>
    <row r="133" spans="1:7" x14ac:dyDescent="0.25">
      <c r="A133" t="s">
        <v>353</v>
      </c>
      <c r="B133" t="s">
        <v>349</v>
      </c>
      <c r="C133" s="8" t="s">
        <v>350</v>
      </c>
      <c r="D133" t="s">
        <v>152</v>
      </c>
      <c r="E133" t="s">
        <v>153</v>
      </c>
      <c r="F133" t="s">
        <v>154</v>
      </c>
      <c r="G133" t="s">
        <v>184</v>
      </c>
    </row>
    <row r="134" spans="1:7" x14ac:dyDescent="0.25">
      <c r="A134" s="44" t="s">
        <v>186</v>
      </c>
      <c r="B134" s="185">
        <v>35.729879807692306</v>
      </c>
      <c r="C134" s="186">
        <v>35.729879807692306</v>
      </c>
      <c r="D134" s="185">
        <v>35.729879807692306</v>
      </c>
      <c r="E134" s="185">
        <v>35.729879807692306</v>
      </c>
      <c r="F134" s="185">
        <v>35.729879807692306</v>
      </c>
      <c r="G134" s="185">
        <v>35.729879807692306</v>
      </c>
    </row>
    <row r="135" spans="1:7" x14ac:dyDescent="0.25">
      <c r="A135" s="85" t="s">
        <v>187</v>
      </c>
      <c r="B135" s="185">
        <v>39.407061030430839</v>
      </c>
      <c r="C135" s="186">
        <v>39.407061030430839</v>
      </c>
      <c r="D135" s="185">
        <v>42.449954110349232</v>
      </c>
      <c r="E135" s="185">
        <v>42.449954110349232</v>
      </c>
      <c r="F135" s="185">
        <v>66.793098749696412</v>
      </c>
      <c r="G135" s="185">
        <f>AVERAGE(B135:F135)</f>
        <v>46.101425806251314</v>
      </c>
    </row>
    <row r="136" spans="1:7" x14ac:dyDescent="0.25">
      <c r="A136" s="79" t="s">
        <v>188</v>
      </c>
      <c r="B136" s="187">
        <f>B134+B135</f>
        <v>75.136940838123138</v>
      </c>
      <c r="C136" s="187">
        <f t="shared" ref="C136:F136" si="5">C134+C135</f>
        <v>75.136940838123138</v>
      </c>
      <c r="D136" s="187">
        <f t="shared" si="5"/>
        <v>78.179833918041538</v>
      </c>
      <c r="E136" s="187">
        <f t="shared" si="5"/>
        <v>78.179833918041538</v>
      </c>
      <c r="F136" s="187">
        <f t="shared" si="5"/>
        <v>102.52297855738871</v>
      </c>
      <c r="G136" s="185">
        <f>AVERAGE(B136:F136)</f>
        <v>81.831305613943613</v>
      </c>
    </row>
    <row r="137" spans="1:7" ht="15.75" thickBot="1" x14ac:dyDescent="0.3">
      <c r="A137" s="35" t="s">
        <v>189</v>
      </c>
      <c r="B137" s="6">
        <f>(B138-B136)/B138</f>
        <v>0.49908706107917911</v>
      </c>
      <c r="C137" s="6">
        <f t="shared" ref="C137:G137" si="6">(C138-C136)/C138</f>
        <v>0.49908706107917911</v>
      </c>
      <c r="D137" s="6">
        <f t="shared" si="6"/>
        <v>0.49884721847409269</v>
      </c>
      <c r="E137" s="6">
        <f t="shared" si="6"/>
        <v>0.49884721847409269</v>
      </c>
      <c r="F137" s="6">
        <f t="shared" si="6"/>
        <v>0.49988790947615264</v>
      </c>
      <c r="G137" s="6">
        <f t="shared" si="6"/>
        <v>0.50102862430522188</v>
      </c>
    </row>
    <row r="138" spans="1:7" ht="15.75" thickBot="1" x14ac:dyDescent="0.3">
      <c r="A138" s="173" t="s">
        <v>185</v>
      </c>
      <c r="B138" s="183">
        <f>ROUND(B136*(1+$B$106),0)</f>
        <v>150</v>
      </c>
      <c r="C138" s="183">
        <f t="shared" ref="C138:G138" si="7">ROUND(C136*(1+$B$106),0)</f>
        <v>150</v>
      </c>
      <c r="D138" s="183">
        <f t="shared" si="7"/>
        <v>156</v>
      </c>
      <c r="E138" s="183">
        <f t="shared" si="7"/>
        <v>156</v>
      </c>
      <c r="F138" s="183">
        <f t="shared" si="7"/>
        <v>205</v>
      </c>
      <c r="G138" s="194">
        <f t="shared" si="7"/>
        <v>164</v>
      </c>
    </row>
    <row r="139" spans="1:7" x14ac:dyDescent="0.25">
      <c r="A139" s="9" t="s">
        <v>146</v>
      </c>
    </row>
    <row r="141" spans="1:7" x14ac:dyDescent="0.25">
      <c r="A141" t="s">
        <v>366</v>
      </c>
      <c r="B141" s="17">
        <f>(0.21767+11.21274*((B7+B8) ^ -0.53816)- 0.08)*$B$104*0.9</f>
        <v>0.31222559048422438</v>
      </c>
      <c r="C141" s="8" t="s">
        <v>368</v>
      </c>
      <c r="D141" s="4"/>
      <c r="E141" s="4"/>
      <c r="F141" s="4"/>
      <c r="G141" s="4"/>
    </row>
    <row r="142" spans="1:7" x14ac:dyDescent="0.25">
      <c r="A142" t="s">
        <v>367</v>
      </c>
      <c r="B142" s="17">
        <f>(0.21767+11.21274*((B8+B7) ^ -0.53816)- 0.08)*$B$104*0.8</f>
        <v>0.27753385820819942</v>
      </c>
      <c r="C142" s="8" t="s">
        <v>368</v>
      </c>
      <c r="D142" s="4"/>
      <c r="E142" s="4"/>
      <c r="F142" s="4"/>
      <c r="G142" s="4"/>
    </row>
    <row r="143" spans="1:7" x14ac:dyDescent="0.25">
      <c r="A143" t="s">
        <v>376</v>
      </c>
      <c r="B143" s="17">
        <f>$B$141*($B$7)</f>
        <v>0</v>
      </c>
      <c r="C143" s="8" t="s">
        <v>368</v>
      </c>
      <c r="D143" s="4"/>
      <c r="E143" s="4"/>
      <c r="F143" s="4"/>
      <c r="G143" s="4"/>
    </row>
    <row r="144" spans="1:7" x14ac:dyDescent="0.25">
      <c r="A144" t="s">
        <v>377</v>
      </c>
      <c r="B144" s="17">
        <f>$B$142*($B$8)*1.15</f>
        <v>1276.6557477577173</v>
      </c>
      <c r="C144" s="8" t="s">
        <v>368</v>
      </c>
      <c r="D144" s="4"/>
      <c r="E144" s="4"/>
      <c r="F144" s="4"/>
      <c r="G144" s="4"/>
    </row>
    <row r="145" spans="1:7" x14ac:dyDescent="0.25">
      <c r="A145" s="1" t="s">
        <v>9</v>
      </c>
      <c r="B145" s="13" t="s">
        <v>354</v>
      </c>
      <c r="C145" s="177" t="s">
        <v>246</v>
      </c>
      <c r="D145" s="13" t="s">
        <v>369</v>
      </c>
      <c r="E145" s="13" t="s">
        <v>370</v>
      </c>
      <c r="F145" s="4"/>
      <c r="G145" s="4"/>
    </row>
    <row r="146" spans="1:7" x14ac:dyDescent="0.25">
      <c r="A146" t="s">
        <v>339</v>
      </c>
      <c r="B146" s="6">
        <f>D112/(SUM($D$112:$D$122))</f>
        <v>2.7424831566922821E-2</v>
      </c>
      <c r="C146" s="178">
        <f>B146*($B$143+B144)</f>
        <v>35.012068851199302</v>
      </c>
      <c r="D146" s="181">
        <f>C146</f>
        <v>35.012068851199302</v>
      </c>
    </row>
    <row r="147" spans="1:7" x14ac:dyDescent="0.25">
      <c r="A147" t="s">
        <v>340</v>
      </c>
      <c r="B147" s="6">
        <f>D113/(SUM($D$112:$D$122))</f>
        <v>1.2416892779611392E-2</v>
      </c>
      <c r="C147" s="178">
        <f>B147*($B$143+$B$144)</f>
        <v>15.852097536382182</v>
      </c>
      <c r="D147" s="181">
        <f t="shared" ref="D147:D155" si="8">C147</f>
        <v>15.852097536382182</v>
      </c>
      <c r="E147" s="4"/>
      <c r="F147" s="4"/>
      <c r="G147" s="4"/>
    </row>
    <row r="148" spans="1:7" x14ac:dyDescent="0.25">
      <c r="A148" t="s">
        <v>214</v>
      </c>
      <c r="B148" s="6">
        <f t="shared" ref="B148:B155" si="9">D114/(SUM($D$112:$D$122))</f>
        <v>0.35367188658404414</v>
      </c>
      <c r="C148" s="178">
        <f t="shared" ref="C148:C157" si="10">B148*($B$143+$B$144)</f>
        <v>451.51724682783549</v>
      </c>
      <c r="D148" s="181">
        <f t="shared" si="8"/>
        <v>451.51724682783549</v>
      </c>
    </row>
    <row r="149" spans="1:7" x14ac:dyDescent="0.25">
      <c r="A149" t="s">
        <v>243</v>
      </c>
      <c r="B149" s="6">
        <f t="shared" si="9"/>
        <v>0.24450056847417845</v>
      </c>
      <c r="C149" s="178">
        <f t="shared" si="10"/>
        <v>312.14305607258927</v>
      </c>
      <c r="D149" s="181">
        <f t="shared" si="8"/>
        <v>312.14305607258927</v>
      </c>
    </row>
    <row r="150" spans="1:7" x14ac:dyDescent="0.25">
      <c r="A150" t="s">
        <v>11</v>
      </c>
      <c r="B150" s="6">
        <f t="shared" si="9"/>
        <v>0.11480490593826519</v>
      </c>
      <c r="C150" s="178">
        <f t="shared" si="10"/>
        <v>146.56634303687034</v>
      </c>
      <c r="D150" s="181">
        <f t="shared" si="8"/>
        <v>146.56634303687034</v>
      </c>
    </row>
    <row r="151" spans="1:7" x14ac:dyDescent="0.25">
      <c r="A151" t="s">
        <v>13</v>
      </c>
      <c r="B151" s="6">
        <f t="shared" si="9"/>
        <v>7.0496765888156052E-2</v>
      </c>
      <c r="C151" s="178">
        <f t="shared" si="10"/>
        <v>90.000101369444607</v>
      </c>
      <c r="D151" s="181">
        <f t="shared" si="8"/>
        <v>90.000101369444607</v>
      </c>
    </row>
    <row r="152" spans="1:7" x14ac:dyDescent="0.25">
      <c r="A152" t="s">
        <v>12</v>
      </c>
      <c r="B152" s="6">
        <f t="shared" si="9"/>
        <v>3.9655214739123201E-2</v>
      </c>
      <c r="C152" s="178">
        <f t="shared" si="10"/>
        <v>50.626057825268184</v>
      </c>
      <c r="D152" s="181">
        <f>C152</f>
        <v>50.626057825268184</v>
      </c>
    </row>
    <row r="153" spans="1:7" x14ac:dyDescent="0.25">
      <c r="A153" t="s">
        <v>14</v>
      </c>
      <c r="B153" s="6">
        <f t="shared" si="9"/>
        <v>4.3827428993694302E-2</v>
      </c>
      <c r="C153" s="178">
        <f>B153*($B$143+$B$144)</f>
        <v>55.952539134243061</v>
      </c>
      <c r="D153" s="181"/>
      <c r="E153" s="109">
        <f>C153</f>
        <v>55.952539134243061</v>
      </c>
    </row>
    <row r="154" spans="1:7" x14ac:dyDescent="0.25">
      <c r="A154" t="s">
        <v>15</v>
      </c>
      <c r="B154" s="6">
        <f t="shared" si="9"/>
        <v>3.750332639764177E-2</v>
      </c>
      <c r="C154" s="178">
        <f t="shared" si="10"/>
        <v>47.878837205583096</v>
      </c>
      <c r="D154" s="181"/>
      <c r="E154" s="109">
        <f>C154</f>
        <v>47.878837205583096</v>
      </c>
    </row>
    <row r="155" spans="1:7" x14ac:dyDescent="0.25">
      <c r="A155" t="s">
        <v>16</v>
      </c>
      <c r="B155" s="6">
        <f t="shared" si="9"/>
        <v>3.3019806054382483E-2</v>
      </c>
      <c r="C155" s="178">
        <f t="shared" si="10"/>
        <v>42.154925189172474</v>
      </c>
      <c r="D155" s="181">
        <f>C155</f>
        <v>42.154925189172474</v>
      </c>
    </row>
    <row r="156" spans="1:7" x14ac:dyDescent="0.25">
      <c r="A156" t="s">
        <v>336</v>
      </c>
      <c r="B156" s="6">
        <f>D122/(SUM($D$112:$D$122))</f>
        <v>2.267837258397996E-2</v>
      </c>
      <c r="C156" s="178">
        <f t="shared" si="10"/>
        <v>28.952474709129053</v>
      </c>
      <c r="D156" s="181"/>
      <c r="E156" s="109">
        <f>C156</f>
        <v>28.952474709129053</v>
      </c>
    </row>
    <row r="157" spans="1:7" x14ac:dyDescent="0.25">
      <c r="A157" s="2" t="s">
        <v>35</v>
      </c>
      <c r="B157" s="7">
        <f>SUM(B146:B156)</f>
        <v>0.99999999999999967</v>
      </c>
      <c r="C157" s="180">
        <f t="shared" si="10"/>
        <v>1276.6557477577169</v>
      </c>
      <c r="D157" s="18">
        <f>SUM(D146:D156)</f>
        <v>1143.8718967087618</v>
      </c>
      <c r="E157" s="17">
        <f>SUM(E146:E156)</f>
        <v>132.78385104895523</v>
      </c>
    </row>
    <row r="161" spans="1:7" x14ac:dyDescent="0.25">
      <c r="A161" s="9" t="s">
        <v>355</v>
      </c>
    </row>
    <row r="162" spans="1:7" x14ac:dyDescent="0.25">
      <c r="A162" t="s">
        <v>159</v>
      </c>
      <c r="B162" s="6">
        <v>0.08</v>
      </c>
      <c r="C162" s="178">
        <f>B162*$D$157</f>
        <v>91.509751736700949</v>
      </c>
    </row>
    <row r="163" spans="1:7" x14ac:dyDescent="0.25">
      <c r="A163" t="s">
        <v>250</v>
      </c>
      <c r="B163" s="6">
        <v>0.08</v>
      </c>
      <c r="C163" s="178">
        <f t="shared" ref="C163:C167" si="11">B163*$D$157</f>
        <v>91.509751736700949</v>
      </c>
    </row>
    <row r="164" spans="1:7" x14ac:dyDescent="0.25">
      <c r="A164" t="s">
        <v>249</v>
      </c>
      <c r="B164" s="6">
        <v>0.34</v>
      </c>
      <c r="C164" s="178">
        <f t="shared" si="11"/>
        <v>388.91644488097904</v>
      </c>
    </row>
    <row r="165" spans="1:7" x14ac:dyDescent="0.25">
      <c r="A165" t="s">
        <v>251</v>
      </c>
      <c r="B165" s="6">
        <v>0.08</v>
      </c>
      <c r="C165" s="178">
        <f t="shared" si="11"/>
        <v>91.509751736700949</v>
      </c>
    </row>
    <row r="166" spans="1:7" x14ac:dyDescent="0.25">
      <c r="A166" t="s">
        <v>252</v>
      </c>
      <c r="B166" s="6">
        <v>0.34</v>
      </c>
      <c r="C166" s="178">
        <f t="shared" si="11"/>
        <v>388.91644488097904</v>
      </c>
    </row>
    <row r="167" spans="1:7" x14ac:dyDescent="0.25">
      <c r="A167" t="s">
        <v>253</v>
      </c>
      <c r="B167" s="6">
        <v>0.08</v>
      </c>
      <c r="C167" s="178">
        <f t="shared" si="11"/>
        <v>91.509751736700949</v>
      </c>
    </row>
    <row r="168" spans="1:7" x14ac:dyDescent="0.25">
      <c r="A168" t="s">
        <v>259</v>
      </c>
      <c r="B168" s="7">
        <f>SUM(B162:B167)</f>
        <v>0.99999999999999989</v>
      </c>
      <c r="C168" s="178">
        <f>SUM(C162:C167)</f>
        <v>1143.8718967087618</v>
      </c>
    </row>
    <row r="172" spans="1:7" x14ac:dyDescent="0.25">
      <c r="A172" s="9" t="s">
        <v>371</v>
      </c>
      <c r="B172" s="9" t="s">
        <v>356</v>
      </c>
      <c r="C172" s="175" t="s">
        <v>357</v>
      </c>
      <c r="D172" s="9" t="s">
        <v>358</v>
      </c>
      <c r="E172" s="9" t="s">
        <v>359</v>
      </c>
      <c r="F172" s="9" t="s">
        <v>360</v>
      </c>
      <c r="G172" s="9" t="s">
        <v>373</v>
      </c>
    </row>
    <row r="173" spans="1:7" x14ac:dyDescent="0.25">
      <c r="A173" t="s">
        <v>159</v>
      </c>
      <c r="B173" s="166">
        <v>0.37</v>
      </c>
      <c r="C173" s="6">
        <v>0.37</v>
      </c>
      <c r="D173" s="6">
        <v>0.1</v>
      </c>
      <c r="E173" s="6">
        <v>0.02</v>
      </c>
      <c r="F173" s="7">
        <v>0.14000000000000001</v>
      </c>
      <c r="G173" s="7">
        <f>SUM(B173:F173)</f>
        <v>1</v>
      </c>
    </row>
    <row r="174" spans="1:7" x14ac:dyDescent="0.25">
      <c r="A174" t="s">
        <v>250</v>
      </c>
      <c r="B174" s="176">
        <v>0</v>
      </c>
      <c r="C174" s="7">
        <v>0</v>
      </c>
      <c r="D174" s="7">
        <v>0.95</v>
      </c>
      <c r="E174" s="7">
        <v>0</v>
      </c>
      <c r="F174" s="7">
        <v>0.05</v>
      </c>
      <c r="G174" s="7">
        <f t="shared" ref="G174:G178" si="12">SUM(B174:F174)</f>
        <v>1</v>
      </c>
    </row>
    <row r="175" spans="1:7" x14ac:dyDescent="0.25">
      <c r="A175" t="s">
        <v>249</v>
      </c>
      <c r="B175" s="176">
        <v>0.32</v>
      </c>
      <c r="C175" s="7">
        <v>0.32</v>
      </c>
      <c r="D175" s="7">
        <v>0.32</v>
      </c>
      <c r="E175" s="7">
        <v>0.02</v>
      </c>
      <c r="F175" s="7">
        <v>0.02</v>
      </c>
      <c r="G175" s="7">
        <f t="shared" si="12"/>
        <v>1</v>
      </c>
    </row>
    <row r="176" spans="1:7" x14ac:dyDescent="0.25">
      <c r="A176" t="s">
        <v>251</v>
      </c>
      <c r="B176" s="176">
        <v>0.32</v>
      </c>
      <c r="C176" s="7">
        <v>0.32</v>
      </c>
      <c r="D176" s="7">
        <v>0.32</v>
      </c>
      <c r="E176" s="7">
        <v>0.02</v>
      </c>
      <c r="F176" s="7">
        <v>0.02</v>
      </c>
      <c r="G176" s="7">
        <f t="shared" si="12"/>
        <v>1</v>
      </c>
    </row>
    <row r="177" spans="1:7" x14ac:dyDescent="0.25">
      <c r="A177" t="s">
        <v>252</v>
      </c>
      <c r="B177" s="176">
        <v>0.26</v>
      </c>
      <c r="C177" s="7">
        <v>0.26</v>
      </c>
      <c r="D177" s="7">
        <v>0.1</v>
      </c>
      <c r="E177" s="7">
        <v>0.32</v>
      </c>
      <c r="F177" s="7">
        <v>0.06</v>
      </c>
      <c r="G177" s="7">
        <f t="shared" si="12"/>
        <v>1</v>
      </c>
    </row>
    <row r="178" spans="1:7" x14ac:dyDescent="0.25">
      <c r="A178" t="s">
        <v>253</v>
      </c>
      <c r="B178" s="176">
        <v>0.26</v>
      </c>
      <c r="C178" s="7">
        <v>0.26</v>
      </c>
      <c r="D178" s="7">
        <v>0.1</v>
      </c>
      <c r="E178" s="7">
        <v>0.32</v>
      </c>
      <c r="F178" s="7">
        <v>0.06</v>
      </c>
      <c r="G178" s="7">
        <f t="shared" si="12"/>
        <v>1</v>
      </c>
    </row>
    <row r="179" spans="1:7" x14ac:dyDescent="0.25">
      <c r="A179" t="s">
        <v>374</v>
      </c>
      <c r="B179" s="176">
        <f>SUMPRODUCT(B173:B178, $B$162:$B$167)</f>
        <v>0.27320000000000005</v>
      </c>
      <c r="C179" s="176">
        <f t="shared" ref="C179:F179" si="13">SUMPRODUCT(C173:C178, $B$162:$B$167)</f>
        <v>0.27320000000000005</v>
      </c>
      <c r="D179" s="176">
        <f t="shared" si="13"/>
        <v>0.26040000000000002</v>
      </c>
      <c r="E179" s="176">
        <f t="shared" si="13"/>
        <v>0.14440000000000003</v>
      </c>
      <c r="F179" s="176">
        <f t="shared" si="13"/>
        <v>4.8800000000000003E-2</v>
      </c>
      <c r="G179" s="7">
        <f>SUM(B179:F179)</f>
        <v>1.0000000000000002</v>
      </c>
    </row>
    <row r="180" spans="1:7" x14ac:dyDescent="0.25">
      <c r="A180" s="9" t="s">
        <v>372</v>
      </c>
      <c r="B180" s="9" t="s">
        <v>361</v>
      </c>
      <c r="C180" s="175" t="s">
        <v>362</v>
      </c>
      <c r="D180" s="9" t="s">
        <v>363</v>
      </c>
      <c r="E180" s="9" t="s">
        <v>364</v>
      </c>
      <c r="F180" s="9" t="s">
        <v>365</v>
      </c>
      <c r="G180" s="9" t="s">
        <v>259</v>
      </c>
    </row>
    <row r="181" spans="1:7" x14ac:dyDescent="0.25">
      <c r="A181" t="s">
        <v>159</v>
      </c>
      <c r="B181" s="56">
        <f>ROUND(($C162*B173),0)</f>
        <v>34</v>
      </c>
      <c r="C181" s="56">
        <f t="shared" ref="C181:F181" si="14">ROUND(($C162*C173),0)</f>
        <v>34</v>
      </c>
      <c r="D181" s="56">
        <f t="shared" si="14"/>
        <v>9</v>
      </c>
      <c r="E181" s="56">
        <f t="shared" si="14"/>
        <v>2</v>
      </c>
      <c r="F181" s="56">
        <f t="shared" si="14"/>
        <v>13</v>
      </c>
      <c r="G181" s="56">
        <f>SUM(B181:F181)</f>
        <v>92</v>
      </c>
    </row>
    <row r="182" spans="1:7" x14ac:dyDescent="0.25">
      <c r="A182" t="s">
        <v>250</v>
      </c>
      <c r="B182" s="56">
        <f t="shared" ref="B182:B186" si="15">ROUND(($C163*B174),0)</f>
        <v>0</v>
      </c>
      <c r="C182" s="56">
        <f t="shared" ref="C182:F182" si="16">ROUND(($C163*C174),0)</f>
        <v>0</v>
      </c>
      <c r="D182" s="56">
        <f t="shared" si="16"/>
        <v>87</v>
      </c>
      <c r="E182" s="56">
        <f t="shared" si="16"/>
        <v>0</v>
      </c>
      <c r="F182" s="56">
        <f t="shared" si="16"/>
        <v>5</v>
      </c>
      <c r="G182" s="56">
        <f t="shared" ref="G182:G186" si="17">SUM(B182:F182)</f>
        <v>92</v>
      </c>
    </row>
    <row r="183" spans="1:7" x14ac:dyDescent="0.25">
      <c r="A183" t="s">
        <v>249</v>
      </c>
      <c r="B183" s="56">
        <f t="shared" si="15"/>
        <v>124</v>
      </c>
      <c r="C183" s="56">
        <f t="shared" ref="C183:F183" si="18">ROUND(($C164*C175),0)</f>
        <v>124</v>
      </c>
      <c r="D183" s="56">
        <f t="shared" si="18"/>
        <v>124</v>
      </c>
      <c r="E183" s="56">
        <f t="shared" si="18"/>
        <v>8</v>
      </c>
      <c r="F183" s="56">
        <f t="shared" si="18"/>
        <v>8</v>
      </c>
      <c r="G183" s="56">
        <f t="shared" si="17"/>
        <v>388</v>
      </c>
    </row>
    <row r="184" spans="1:7" x14ac:dyDescent="0.25">
      <c r="A184" t="s">
        <v>251</v>
      </c>
      <c r="B184" s="56">
        <f t="shared" si="15"/>
        <v>29</v>
      </c>
      <c r="C184" s="56">
        <f t="shared" ref="C184:F184" si="19">ROUND(($C165*C176),0)</f>
        <v>29</v>
      </c>
      <c r="D184" s="56">
        <f t="shared" si="19"/>
        <v>29</v>
      </c>
      <c r="E184" s="56">
        <f t="shared" si="19"/>
        <v>2</v>
      </c>
      <c r="F184" s="56">
        <f t="shared" si="19"/>
        <v>2</v>
      </c>
      <c r="G184" s="56">
        <f t="shared" si="17"/>
        <v>91</v>
      </c>
    </row>
    <row r="185" spans="1:7" x14ac:dyDescent="0.25">
      <c r="A185" t="s">
        <v>252</v>
      </c>
      <c r="B185" s="56">
        <f t="shared" si="15"/>
        <v>101</v>
      </c>
      <c r="C185" s="56">
        <f t="shared" ref="C185:F185" si="20">ROUND(($C166*C177),0)</f>
        <v>101</v>
      </c>
      <c r="D185" s="56">
        <f t="shared" si="20"/>
        <v>39</v>
      </c>
      <c r="E185" s="56">
        <f t="shared" si="20"/>
        <v>124</v>
      </c>
      <c r="F185" s="56">
        <f t="shared" si="20"/>
        <v>23</v>
      </c>
      <c r="G185" s="56">
        <f t="shared" si="17"/>
        <v>388</v>
      </c>
    </row>
    <row r="186" spans="1:7" ht="15.75" thickBot="1" x14ac:dyDescent="0.3">
      <c r="A186" t="s">
        <v>253</v>
      </c>
      <c r="B186" s="56">
        <f t="shared" si="15"/>
        <v>24</v>
      </c>
      <c r="C186" s="56">
        <f t="shared" ref="C186:F186" si="21">ROUND(($C167*C178),0)</f>
        <v>24</v>
      </c>
      <c r="D186" s="56">
        <f t="shared" si="21"/>
        <v>9</v>
      </c>
      <c r="E186" s="56">
        <f t="shared" si="21"/>
        <v>29</v>
      </c>
      <c r="F186" s="56">
        <f t="shared" si="21"/>
        <v>5</v>
      </c>
      <c r="G186" s="56">
        <f t="shared" si="17"/>
        <v>91</v>
      </c>
    </row>
    <row r="187" spans="1:7" ht="15.75" thickBot="1" x14ac:dyDescent="0.3">
      <c r="A187" s="172" t="s">
        <v>35</v>
      </c>
      <c r="B187" s="182">
        <f>SUM(B181:B186)</f>
        <v>312</v>
      </c>
      <c r="C187" s="182">
        <f>SUM(C181:C186)</f>
        <v>312</v>
      </c>
      <c r="D187" s="182">
        <f>SUM(D181:D186)</f>
        <v>297</v>
      </c>
      <c r="E187" s="182">
        <f>SUM(E181:E186)</f>
        <v>165</v>
      </c>
      <c r="F187" s="182">
        <f>SUM(F181:F186)</f>
        <v>56</v>
      </c>
      <c r="G187" s="196">
        <f>SUM(G181:G186)</f>
        <v>1142</v>
      </c>
    </row>
    <row r="188" spans="1:7" x14ac:dyDescent="0.25">
      <c r="A188" s="9" t="s">
        <v>375</v>
      </c>
      <c r="B188" s="9" t="s">
        <v>361</v>
      </c>
      <c r="C188" s="175" t="s">
        <v>362</v>
      </c>
      <c r="D188" s="9" t="s">
        <v>363</v>
      </c>
      <c r="E188" s="9" t="s">
        <v>364</v>
      </c>
      <c r="F188" s="9" t="s">
        <v>365</v>
      </c>
      <c r="G188" s="9" t="s">
        <v>259</v>
      </c>
    </row>
    <row r="189" spans="1:7" x14ac:dyDescent="0.25">
      <c r="A189" t="s">
        <v>159</v>
      </c>
      <c r="B189" s="187">
        <f>(B181*$B$138)*(1+$E$209)</f>
        <v>4335</v>
      </c>
      <c r="C189" s="187">
        <f>(C181*$C$138)*(1+$E$209)</f>
        <v>4335</v>
      </c>
      <c r="D189" s="187">
        <f>(D181*$D$138)*(1+$E$209)</f>
        <v>1193.3999999999999</v>
      </c>
      <c r="E189" s="187">
        <f>(E181*$E$138)*(1+$E$209)</f>
        <v>265.2</v>
      </c>
      <c r="F189" s="187">
        <f>(F181*$F$138)*(1+$E$209)</f>
        <v>2265.25</v>
      </c>
      <c r="G189" s="187">
        <f>SUM(B189:F189)</f>
        <v>12393.85</v>
      </c>
    </row>
    <row r="190" spans="1:7" x14ac:dyDescent="0.25">
      <c r="A190" t="s">
        <v>250</v>
      </c>
      <c r="B190" s="187">
        <f>(B182*$B$138)*(1+$E$209)</f>
        <v>0</v>
      </c>
      <c r="C190" s="187">
        <f>(C182*$C$138)*(1+$E$209)</f>
        <v>0</v>
      </c>
      <c r="D190" s="187">
        <f>(D182*$D$138)*(1+$E$209)</f>
        <v>11536.199999999999</v>
      </c>
      <c r="E190" s="187">
        <f>(E182*$E$138)*(1+$E$209)</f>
        <v>0</v>
      </c>
      <c r="F190" s="187">
        <f>(F182*$F$138)*(1+$E$209)</f>
        <v>871.25</v>
      </c>
      <c r="G190" s="187">
        <f t="shared" ref="G190:G194" si="22">SUM(B190:F190)</f>
        <v>12407.449999999999</v>
      </c>
    </row>
    <row r="191" spans="1:7" x14ac:dyDescent="0.25">
      <c r="A191" t="s">
        <v>249</v>
      </c>
      <c r="B191" s="187">
        <f>(B183*$B$138)*(1+$E$209)</f>
        <v>15810</v>
      </c>
      <c r="C191" s="187">
        <f>(C183*$C$138)*(1+$E$209)</f>
        <v>15810</v>
      </c>
      <c r="D191" s="187">
        <f>(D183*$D$138)*(1+$E$209)</f>
        <v>16442.399999999998</v>
      </c>
      <c r="E191" s="187">
        <f>(E183*$E$138)*(1+$E$209)</f>
        <v>1060.8</v>
      </c>
      <c r="F191" s="187">
        <f>(F183*$F$138)*(1+$E$209)</f>
        <v>1394</v>
      </c>
      <c r="G191" s="187">
        <f t="shared" si="22"/>
        <v>50517.2</v>
      </c>
    </row>
    <row r="192" spans="1:7" x14ac:dyDescent="0.25">
      <c r="A192" t="s">
        <v>251</v>
      </c>
      <c r="B192" s="187">
        <f>(B184*$B$138)*(1+$E$209)</f>
        <v>3697.5</v>
      </c>
      <c r="C192" s="187">
        <f>(C184*$C$138)*(1+$E$209)</f>
        <v>3697.5</v>
      </c>
      <c r="D192" s="187">
        <f>(D184*$D$138)*(1+$E$209)</f>
        <v>3845.4</v>
      </c>
      <c r="E192" s="187">
        <f>(E184*$E$138)*(1+$E$209)</f>
        <v>265.2</v>
      </c>
      <c r="F192" s="187">
        <f>(F184*$F$138)*(1+$E$209)</f>
        <v>348.5</v>
      </c>
      <c r="G192" s="187">
        <f t="shared" si="22"/>
        <v>11854.1</v>
      </c>
    </row>
    <row r="193" spans="1:7" x14ac:dyDescent="0.25">
      <c r="A193" t="s">
        <v>252</v>
      </c>
      <c r="B193" s="187">
        <f>(B185*$B$138)*(1+$E$209)</f>
        <v>12877.5</v>
      </c>
      <c r="C193" s="187">
        <f>(C185*$C$138)*(1+$E$209)</f>
        <v>12877.5</v>
      </c>
      <c r="D193" s="187">
        <f>(D185*$D$138)*(1+$E$209)</f>
        <v>5171.3999999999996</v>
      </c>
      <c r="E193" s="187">
        <f>(E185*$E$138)*(1+$E$209)</f>
        <v>16442.399999999998</v>
      </c>
      <c r="F193" s="187">
        <f>(F185*$F$138)*(1+$E$209)</f>
        <v>4007.75</v>
      </c>
      <c r="G193" s="187">
        <f t="shared" si="22"/>
        <v>51376.55</v>
      </c>
    </row>
    <row r="194" spans="1:7" x14ac:dyDescent="0.25">
      <c r="A194" t="s">
        <v>253</v>
      </c>
      <c r="B194" s="187">
        <f>(B186*$B$138)*(1+$E$209)</f>
        <v>3060</v>
      </c>
      <c r="C194" s="187">
        <f>(C186*$C$138)*(1+$E$209)</f>
        <v>3060</v>
      </c>
      <c r="D194" s="187">
        <f>(D186*$D$138)*(1+$E$209)</f>
        <v>1193.3999999999999</v>
      </c>
      <c r="E194" s="187">
        <f>(E186*$E$138)*(1+$E$209)</f>
        <v>3845.4</v>
      </c>
      <c r="F194" s="187">
        <f>(F186*$F$138)*(1+$E$209)</f>
        <v>871.25</v>
      </c>
      <c r="G194" s="187">
        <f t="shared" si="22"/>
        <v>12030.05</v>
      </c>
    </row>
    <row r="195" spans="1:7" x14ac:dyDescent="0.25">
      <c r="A195" s="172" t="s">
        <v>35</v>
      </c>
      <c r="B195" s="187">
        <f>SUM(B189:B194)</f>
        <v>39780</v>
      </c>
      <c r="C195" s="187">
        <f t="shared" ref="C195:F195" si="23">SUM(C189:C194)</f>
        <v>39780</v>
      </c>
      <c r="D195" s="187">
        <f t="shared" si="23"/>
        <v>39382.199999999997</v>
      </c>
      <c r="E195" s="187">
        <f t="shared" si="23"/>
        <v>21879</v>
      </c>
      <c r="F195" s="187">
        <f t="shared" si="23"/>
        <v>9758</v>
      </c>
      <c r="G195" s="183">
        <f>SUM(G189:G194)</f>
        <v>150579.20000000001</v>
      </c>
    </row>
    <row r="199" spans="1:7" x14ac:dyDescent="0.25">
      <c r="A199" s="9" t="s">
        <v>378</v>
      </c>
      <c r="B199" t="s">
        <v>385</v>
      </c>
      <c r="C199" s="8" t="s">
        <v>381</v>
      </c>
      <c r="D199" t="s">
        <v>382</v>
      </c>
      <c r="E199" t="s">
        <v>213</v>
      </c>
      <c r="F199" t="s">
        <v>391</v>
      </c>
      <c r="G199" t="s">
        <v>392</v>
      </c>
    </row>
    <row r="200" spans="1:7" x14ac:dyDescent="0.25">
      <c r="A200" t="s">
        <v>379</v>
      </c>
      <c r="B200" s="6">
        <f>E200/$B$32</f>
        <v>0.20000044627108823</v>
      </c>
      <c r="C200" s="167">
        <f>E200/(B7+B8)</f>
        <v>39.000087022862211</v>
      </c>
      <c r="D200" s="56">
        <f>F123</f>
        <v>951.22163470395617</v>
      </c>
      <c r="E200" s="188">
        <f>E123</f>
        <v>156000.34809144883</v>
      </c>
      <c r="F200" s="6">
        <f>(E200-E201)/E200</f>
        <v>-0.13558720969104426</v>
      </c>
      <c r="G200" s="5">
        <f>E200*(F200)</f>
        <v>-21151.651908551168</v>
      </c>
    </row>
    <row r="201" spans="1:7" x14ac:dyDescent="0.25">
      <c r="A201" t="s">
        <v>386</v>
      </c>
      <c r="B201" s="6">
        <f>E201/$B$32</f>
        <v>0.22711794871794871</v>
      </c>
      <c r="C201" s="167">
        <f>E201/($B$8+$B$9)</f>
        <v>35.430399999999999</v>
      </c>
      <c r="D201" s="56">
        <f>G187</f>
        <v>1142</v>
      </c>
      <c r="E201" s="188">
        <f>B187*B138+C187*C138+D187*D138+E187*E138+F187*F138</f>
        <v>177152</v>
      </c>
      <c r="F201" s="6">
        <f>(E201-E200)/E201</f>
        <v>0.1193983240863844</v>
      </c>
      <c r="G201" s="5">
        <f>E201*(F201)</f>
        <v>21151.651908551168</v>
      </c>
    </row>
    <row r="202" spans="1:7" x14ac:dyDescent="0.25">
      <c r="B202" s="6"/>
      <c r="C202" s="167"/>
      <c r="D202" s="56"/>
      <c r="E202" s="188"/>
      <c r="F202" s="6"/>
      <c r="G202" s="5"/>
    </row>
    <row r="203" spans="1:7" x14ac:dyDescent="0.25">
      <c r="B203" s="6"/>
      <c r="C203" s="167"/>
      <c r="D203" s="56"/>
      <c r="E203" s="188"/>
      <c r="F203" s="6"/>
      <c r="G203" s="5"/>
    </row>
    <row r="204" spans="1:7" x14ac:dyDescent="0.25">
      <c r="A204" s="9" t="s">
        <v>395</v>
      </c>
      <c r="B204" s="9"/>
      <c r="C204" s="175"/>
      <c r="D204" s="9"/>
      <c r="E204" s="192">
        <f>MAX(E200:E201)</f>
        <v>177152</v>
      </c>
    </row>
    <row r="205" spans="1:7" x14ac:dyDescent="0.25">
      <c r="A205" t="s">
        <v>399</v>
      </c>
      <c r="E205" s="188">
        <f>-E204+E206</f>
        <v>-10575.825954275584</v>
      </c>
      <c r="F205" s="5"/>
    </row>
    <row r="206" spans="1:7" x14ac:dyDescent="0.25">
      <c r="A206" t="s">
        <v>396</v>
      </c>
      <c r="B206" s="6">
        <f>E206/$B$32</f>
        <v>0.21355919749451849</v>
      </c>
      <c r="D206" s="174">
        <f>E204/G138</f>
        <v>1080.1951219512196</v>
      </c>
      <c r="E206" s="188">
        <f>AVERAGE(E200:E201)</f>
        <v>166576.17404572442</v>
      </c>
    </row>
    <row r="207" spans="1:7" x14ac:dyDescent="0.25">
      <c r="A207" t="s">
        <v>397</v>
      </c>
      <c r="E207" s="6">
        <f>(1-E206/E204)</f>
        <v>5.9699162043192144E-2</v>
      </c>
    </row>
    <row r="208" spans="1:7" s="172" customFormat="1" x14ac:dyDescent="0.25">
      <c r="A208" s="172" t="s">
        <v>400</v>
      </c>
      <c r="C208" s="197"/>
      <c r="E208" s="198">
        <v>0.15</v>
      </c>
    </row>
    <row r="209" spans="1:7" x14ac:dyDescent="0.25">
      <c r="A209" s="172" t="s">
        <v>401</v>
      </c>
      <c r="E209" s="168">
        <f>-MAX(E207:E208)</f>
        <v>-0.15</v>
      </c>
    </row>
    <row r="210" spans="1:7" x14ac:dyDescent="0.25">
      <c r="A210" s="9" t="s">
        <v>395</v>
      </c>
      <c r="E210" s="188">
        <f>E204</f>
        <v>177152</v>
      </c>
    </row>
    <row r="211" spans="1:7" ht="15.75" thickBot="1" x14ac:dyDescent="0.3">
      <c r="A211" t="s">
        <v>397</v>
      </c>
      <c r="E211" s="188">
        <f>E212-E204</f>
        <v>-26572.799999999988</v>
      </c>
    </row>
    <row r="212" spans="1:7" ht="15.75" thickBot="1" x14ac:dyDescent="0.3">
      <c r="A212" s="199" t="s">
        <v>398</v>
      </c>
      <c r="B212" s="204">
        <f>E212/$B$32</f>
        <v>0.19305025641025642</v>
      </c>
      <c r="C212" s="205">
        <f>E212/($B$8+$B$9)</f>
        <v>30.115840000000002</v>
      </c>
      <c r="D212" s="206">
        <f>E212/G138</f>
        <v>918.16585365853666</v>
      </c>
      <c r="E212" s="214">
        <f>G195</f>
        <v>150579.20000000001</v>
      </c>
    </row>
    <row r="213" spans="1:7" x14ac:dyDescent="0.25">
      <c r="A213" s="201"/>
      <c r="B213" s="201"/>
      <c r="C213" s="202"/>
      <c r="D213" s="201"/>
      <c r="E213" s="203"/>
    </row>
    <row r="214" spans="1:7" x14ac:dyDescent="0.25">
      <c r="A214" s="9" t="s">
        <v>402</v>
      </c>
    </row>
    <row r="215" spans="1:7" x14ac:dyDescent="0.25">
      <c r="A215" t="s">
        <v>159</v>
      </c>
      <c r="B215" s="6">
        <v>0.08</v>
      </c>
      <c r="C215" s="200">
        <f>$D$212*B215</f>
        <v>73.453268292682935</v>
      </c>
    </row>
    <row r="216" spans="1:7" x14ac:dyDescent="0.25">
      <c r="A216" t="s">
        <v>250</v>
      </c>
      <c r="B216" s="6">
        <v>0.08</v>
      </c>
      <c r="C216" s="200">
        <f>$D$212*B216</f>
        <v>73.453268292682935</v>
      </c>
    </row>
    <row r="217" spans="1:7" x14ac:dyDescent="0.25">
      <c r="A217" t="s">
        <v>249</v>
      </c>
      <c r="B217" s="6">
        <v>0.34</v>
      </c>
      <c r="C217" s="200">
        <f>$D$212*B217</f>
        <v>312.17639024390246</v>
      </c>
    </row>
    <row r="218" spans="1:7" x14ac:dyDescent="0.25">
      <c r="A218" t="s">
        <v>251</v>
      </c>
      <c r="B218" s="6">
        <v>0.08</v>
      </c>
      <c r="C218" s="200">
        <f>$D$212*B218</f>
        <v>73.453268292682935</v>
      </c>
    </row>
    <row r="219" spans="1:7" x14ac:dyDescent="0.25">
      <c r="A219" t="s">
        <v>252</v>
      </c>
      <c r="B219" s="6">
        <v>0.34</v>
      </c>
      <c r="C219" s="200">
        <f>$D$212*B219</f>
        <v>312.17639024390246</v>
      </c>
    </row>
    <row r="220" spans="1:7" ht="15.75" thickBot="1" x14ac:dyDescent="0.3">
      <c r="A220" t="s">
        <v>253</v>
      </c>
      <c r="B220" s="6">
        <v>0.08</v>
      </c>
      <c r="C220" s="200">
        <f>$D$212*B220</f>
        <v>73.453268292682935</v>
      </c>
    </row>
    <row r="221" spans="1:7" ht="15.75" thickBot="1" x14ac:dyDescent="0.3">
      <c r="A221" s="207" t="s">
        <v>259</v>
      </c>
      <c r="B221" s="208">
        <f>SUM(B215:B220)</f>
        <v>0.99999999999999989</v>
      </c>
      <c r="C221" s="215">
        <f>SUM(C215:C220)</f>
        <v>918.16585365853666</v>
      </c>
      <c r="D221" s="209"/>
      <c r="E221" s="210"/>
    </row>
    <row r="222" spans="1:7" x14ac:dyDescent="0.25">
      <c r="A222" s="211"/>
      <c r="B222" s="212"/>
      <c r="C222" s="213"/>
      <c r="D222" s="211"/>
      <c r="E222" s="211"/>
    </row>
    <row r="223" spans="1:7" x14ac:dyDescent="0.25">
      <c r="A223" s="9" t="s">
        <v>403</v>
      </c>
      <c r="B223" s="9" t="s">
        <v>361</v>
      </c>
      <c r="C223" s="175" t="s">
        <v>362</v>
      </c>
      <c r="D223" s="9" t="s">
        <v>363</v>
      </c>
      <c r="E223" s="9" t="s">
        <v>364</v>
      </c>
      <c r="F223" s="9" t="s">
        <v>365</v>
      </c>
      <c r="G223" s="9" t="s">
        <v>259</v>
      </c>
    </row>
    <row r="224" spans="1:7" x14ac:dyDescent="0.25">
      <c r="A224" t="s">
        <v>159</v>
      </c>
      <c r="B224" s="56">
        <f>ROUND(($C215*B173),0)</f>
        <v>27</v>
      </c>
      <c r="C224" s="56">
        <f t="shared" ref="C224:F224" si="24">ROUND(($C215*C173),0)</f>
        <v>27</v>
      </c>
      <c r="D224" s="56">
        <f t="shared" si="24"/>
        <v>7</v>
      </c>
      <c r="E224" s="56">
        <f t="shared" si="24"/>
        <v>1</v>
      </c>
      <c r="F224" s="56">
        <f t="shared" si="24"/>
        <v>10</v>
      </c>
      <c r="G224" s="56">
        <f>SUM(B224:F224)</f>
        <v>72</v>
      </c>
    </row>
    <row r="225" spans="1:7" x14ac:dyDescent="0.25">
      <c r="A225" t="s">
        <v>250</v>
      </c>
      <c r="B225" s="56">
        <f>ROUND(($C216*B174),0)</f>
        <v>0</v>
      </c>
      <c r="C225" s="56">
        <f>ROUND(($C216*C174),0)</f>
        <v>0</v>
      </c>
      <c r="D225" s="56">
        <f>ROUND(($C216*D174),0)</f>
        <v>70</v>
      </c>
      <c r="E225" s="56">
        <f>ROUND(($C216*E174),0)</f>
        <v>0</v>
      </c>
      <c r="F225" s="56">
        <f>ROUND(($C216*F174),0)</f>
        <v>4</v>
      </c>
      <c r="G225" s="56">
        <f t="shared" ref="G225:G228" si="25">SUM(B225:F225)</f>
        <v>74</v>
      </c>
    </row>
    <row r="226" spans="1:7" x14ac:dyDescent="0.25">
      <c r="A226" t="s">
        <v>249</v>
      </c>
      <c r="B226" s="56">
        <f>ROUND(($C217*B175),0)</f>
        <v>100</v>
      </c>
      <c r="C226" s="56">
        <f>ROUND(($C217*C175),0)</f>
        <v>100</v>
      </c>
      <c r="D226" s="56">
        <f>ROUND(($C217*D175),0)</f>
        <v>100</v>
      </c>
      <c r="E226" s="56">
        <f>ROUND(($C217*E175),0)</f>
        <v>6</v>
      </c>
      <c r="F226" s="56">
        <f>ROUND(($C217*F175),0)</f>
        <v>6</v>
      </c>
      <c r="G226" s="56">
        <f t="shared" si="25"/>
        <v>312</v>
      </c>
    </row>
    <row r="227" spans="1:7" x14ac:dyDescent="0.25">
      <c r="A227" t="s">
        <v>251</v>
      </c>
      <c r="B227" s="56">
        <f>ROUND(($C218*B176),0)</f>
        <v>24</v>
      </c>
      <c r="C227" s="56">
        <f>ROUND(($C218*C176),0)</f>
        <v>24</v>
      </c>
      <c r="D227" s="56">
        <f>ROUND(($C218*D176),0)</f>
        <v>24</v>
      </c>
      <c r="E227" s="56">
        <f>ROUND(($C218*E176),0)</f>
        <v>1</v>
      </c>
      <c r="F227" s="56">
        <f>ROUND(($C218*F176),0)</f>
        <v>1</v>
      </c>
      <c r="G227" s="56">
        <f t="shared" si="25"/>
        <v>74</v>
      </c>
    </row>
    <row r="228" spans="1:7" x14ac:dyDescent="0.25">
      <c r="A228" t="s">
        <v>252</v>
      </c>
      <c r="B228" s="56">
        <f>ROUND(($C219*B177),0)</f>
        <v>81</v>
      </c>
      <c r="C228" s="56">
        <f>ROUND(($C219*C177),0)</f>
        <v>81</v>
      </c>
      <c r="D228" s="56">
        <f>ROUND(($C219*D177),0)</f>
        <v>31</v>
      </c>
      <c r="E228" s="56">
        <f>ROUND(($C219*E177),0)</f>
        <v>100</v>
      </c>
      <c r="F228" s="56">
        <f>ROUND(($C219*F177),0)</f>
        <v>19</v>
      </c>
      <c r="G228" s="56">
        <f t="shared" si="25"/>
        <v>312</v>
      </c>
    </row>
    <row r="229" spans="1:7" ht="15.75" thickBot="1" x14ac:dyDescent="0.3">
      <c r="A229" t="s">
        <v>253</v>
      </c>
      <c r="B229" s="56">
        <f>ROUND(($C220*B178),0)</f>
        <v>19</v>
      </c>
      <c r="C229" s="56">
        <f>ROUND(($C220*C178),0)</f>
        <v>19</v>
      </c>
      <c r="D229" s="56">
        <f>ROUND(($C220*D178),0)</f>
        <v>7</v>
      </c>
      <c r="E229" s="56">
        <f>ROUND(($C220*E178),0)</f>
        <v>24</v>
      </c>
      <c r="F229" s="56">
        <f>ROUND(($C220*F178),0)</f>
        <v>4</v>
      </c>
      <c r="G229" s="56">
        <f>SUM(B229:F229)</f>
        <v>73</v>
      </c>
    </row>
    <row r="230" spans="1:7" ht="15.75" thickBot="1" x14ac:dyDescent="0.3">
      <c r="A230" s="172" t="s">
        <v>35</v>
      </c>
      <c r="B230" s="182">
        <f>SUM(B224:B229)</f>
        <v>251</v>
      </c>
      <c r="C230" s="182">
        <f>SUM(C224:C229)</f>
        <v>251</v>
      </c>
      <c r="D230" s="182">
        <f>SUM(D224:D229)</f>
        <v>239</v>
      </c>
      <c r="E230" s="182">
        <f>SUM(E224:E229)</f>
        <v>132</v>
      </c>
      <c r="F230" s="182">
        <f>SUM(F224:F229)</f>
        <v>44</v>
      </c>
      <c r="G230" s="196">
        <f>SUM(G224:G229)</f>
        <v>917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120"/>
  <sheetViews>
    <sheetView zoomScale="115" zoomScaleNormal="115" workbookViewId="0">
      <pane ySplit="21" topLeftCell="A64" activePane="bottomLeft" state="frozen"/>
      <selection pane="bottomLeft" activeCell="C78" sqref="C78:C83"/>
    </sheetView>
  </sheetViews>
  <sheetFormatPr defaultRowHeight="15" x14ac:dyDescent="0.25"/>
  <cols>
    <col min="1" max="1" width="40" customWidth="1"/>
    <col min="2" max="2" width="33.42578125" customWidth="1"/>
    <col min="3" max="3" width="18.42578125" customWidth="1"/>
    <col min="4" max="4" width="18.140625" customWidth="1"/>
    <col min="5" max="5" width="14.28515625" customWidth="1"/>
    <col min="6" max="6" width="14.140625" customWidth="1"/>
    <col min="7" max="10" width="14.28515625" customWidth="1"/>
    <col min="11" max="11" width="15.42578125" customWidth="1"/>
    <col min="12" max="14" width="14.28515625" customWidth="1"/>
    <col min="17" max="24" width="16.85546875" customWidth="1"/>
  </cols>
  <sheetData>
    <row r="1" spans="1:5" x14ac:dyDescent="0.25">
      <c r="A1" t="s">
        <v>294</v>
      </c>
    </row>
    <row r="3" spans="1:5" s="102" customFormat="1" ht="11.25" x14ac:dyDescent="0.2">
      <c r="A3" s="141" t="s">
        <v>116</v>
      </c>
      <c r="B3" s="142">
        <v>0.3</v>
      </c>
      <c r="D3" s="143" t="s">
        <v>125</v>
      </c>
      <c r="E3" s="145">
        <f>Project_Cost!B62</f>
        <v>342341.99999999994</v>
      </c>
    </row>
    <row r="4" spans="1:5" s="102" customFormat="1" ht="11.25" x14ac:dyDescent="0.2">
      <c r="A4" s="143" t="s">
        <v>122</v>
      </c>
      <c r="B4" s="144">
        <f>Project_Cost!B40</f>
        <v>514800</v>
      </c>
      <c r="D4" s="143" t="s">
        <v>126</v>
      </c>
      <c r="E4" s="145">
        <f>Project_Cost!B74</f>
        <v>66924</v>
      </c>
    </row>
    <row r="5" spans="1:5" s="102" customFormat="1" ht="11.25" x14ac:dyDescent="0.2">
      <c r="A5" s="143" t="s">
        <v>123</v>
      </c>
      <c r="B5" s="144">
        <f>Project_Cost!B66</f>
        <v>171600</v>
      </c>
      <c r="D5" s="143" t="s">
        <v>127</v>
      </c>
      <c r="E5" s="145">
        <f>Project_Cost!B78</f>
        <v>25740</v>
      </c>
    </row>
    <row r="6" spans="1:5" s="102" customFormat="1" ht="11.25" x14ac:dyDescent="0.2">
      <c r="A6" s="143" t="s">
        <v>124</v>
      </c>
      <c r="B6" s="144">
        <f>Project_Cost!B70</f>
        <v>93600</v>
      </c>
      <c r="D6" s="143" t="s">
        <v>128</v>
      </c>
      <c r="E6" s="145">
        <f>Project_Cost!B82</f>
        <v>30888</v>
      </c>
    </row>
    <row r="7" spans="1:5" s="102" customFormat="1" ht="11.25" x14ac:dyDescent="0.2">
      <c r="A7" s="143" t="s">
        <v>244</v>
      </c>
      <c r="B7" s="145">
        <f>B4+B5+B6</f>
        <v>780000</v>
      </c>
      <c r="D7" s="143" t="s">
        <v>129</v>
      </c>
      <c r="E7" s="145">
        <f>Project_Cost!B86</f>
        <v>23166</v>
      </c>
    </row>
    <row r="8" spans="1:5" s="102" customFormat="1" ht="11.25" x14ac:dyDescent="0.2">
      <c r="A8" s="143"/>
      <c r="B8" s="145"/>
      <c r="D8" s="143" t="s">
        <v>130</v>
      </c>
      <c r="E8" s="145">
        <f>Project_Cost!B90</f>
        <v>18018</v>
      </c>
    </row>
    <row r="9" spans="1:5" s="102" customFormat="1" ht="11.25" x14ac:dyDescent="0.2">
      <c r="D9" s="143" t="s">
        <v>336</v>
      </c>
      <c r="E9" s="145">
        <f>Project_Cost!B94</f>
        <v>7722</v>
      </c>
    </row>
    <row r="10" spans="1:5" s="102" customFormat="1" ht="11.25" x14ac:dyDescent="0.2">
      <c r="A10" s="143" t="s">
        <v>139</v>
      </c>
      <c r="B10" s="144">
        <f>B4/(Project_Cost!B7+Project_Cost!B8)</f>
        <v>128.69999999999999</v>
      </c>
    </row>
    <row r="11" spans="1:5" s="102" customFormat="1" ht="11.25" x14ac:dyDescent="0.2">
      <c r="A11" s="143" t="s">
        <v>140</v>
      </c>
      <c r="B11" s="144">
        <f>B7/(Project_Cost!B7+Project_Cost!B8)</f>
        <v>195</v>
      </c>
    </row>
    <row r="12" spans="1:5" s="102" customFormat="1" ht="11.25" x14ac:dyDescent="0.2"/>
    <row r="13" spans="1:5" s="102" customFormat="1" ht="11.25" x14ac:dyDescent="0.2"/>
    <row r="14" spans="1:5" s="102" customFormat="1" ht="11.25" x14ac:dyDescent="0.2"/>
    <row r="15" spans="1:5" s="102" customFormat="1" ht="11.25" x14ac:dyDescent="0.2"/>
    <row r="16" spans="1:5" s="102" customFormat="1" ht="11.25" x14ac:dyDescent="0.2"/>
    <row r="17" spans="1:11" s="102" customFormat="1" ht="11.25" x14ac:dyDescent="0.2">
      <c r="A17" s="143"/>
      <c r="B17" s="145"/>
      <c r="K17" s="142"/>
    </row>
    <row r="18" spans="1:11" s="102" customFormat="1" ht="11.25" x14ac:dyDescent="0.2">
      <c r="A18" s="143"/>
      <c r="B18" s="145"/>
    </row>
    <row r="19" spans="1:11" s="102" customFormat="1" ht="11.25" x14ac:dyDescent="0.2"/>
    <row r="20" spans="1:11" s="102" customFormat="1" ht="11.25" x14ac:dyDescent="0.2"/>
    <row r="21" spans="1:11" s="102" customFormat="1" ht="11.25" x14ac:dyDescent="0.2">
      <c r="B21" s="145"/>
      <c r="C21" s="145"/>
    </row>
    <row r="23" spans="1:11" x14ac:dyDescent="0.25">
      <c r="A23" s="9" t="s">
        <v>138</v>
      </c>
      <c r="B23" s="9" t="s">
        <v>132</v>
      </c>
      <c r="C23" s="9" t="s">
        <v>133</v>
      </c>
      <c r="D23" s="9" t="s">
        <v>10</v>
      </c>
    </row>
    <row r="25" spans="1:11" x14ac:dyDescent="0.25">
      <c r="E25" s="5"/>
    </row>
    <row r="26" spans="1:11" x14ac:dyDescent="0.25">
      <c r="A26" s="9"/>
      <c r="B26" s="16"/>
      <c r="D26" s="10"/>
      <c r="E26" s="5"/>
    </row>
    <row r="27" spans="1:11" x14ac:dyDescent="0.25">
      <c r="A27" s="9" t="s">
        <v>217</v>
      </c>
      <c r="B27" s="9" t="s">
        <v>45</v>
      </c>
      <c r="C27" s="9" t="s">
        <v>46</v>
      </c>
      <c r="D27" s="10"/>
      <c r="E27" s="5"/>
    </row>
    <row r="28" spans="1:11" x14ac:dyDescent="0.25">
      <c r="A28" t="s">
        <v>141</v>
      </c>
      <c r="B28" s="20" t="str">
        <f>Project_Cost!B4</f>
        <v>Mid-Range Standard Residential</v>
      </c>
      <c r="C28" s="19">
        <f>Project_Cost!B6</f>
        <v>3</v>
      </c>
      <c r="E28" s="5"/>
    </row>
    <row r="29" spans="1:11" x14ac:dyDescent="0.25">
      <c r="A29" s="14" t="s">
        <v>135</v>
      </c>
      <c r="B29" s="17">
        <f>Project_Cost!B7</f>
        <v>0</v>
      </c>
      <c r="E29" s="5"/>
    </row>
    <row r="30" spans="1:11" x14ac:dyDescent="0.25">
      <c r="A30" t="s">
        <v>136</v>
      </c>
      <c r="B30" s="17">
        <f>Project_Cost!B8</f>
        <v>4000</v>
      </c>
      <c r="E30" s="5"/>
    </row>
    <row r="31" spans="1:11" ht="17.25" x14ac:dyDescent="0.25">
      <c r="A31" t="s">
        <v>137</v>
      </c>
      <c r="B31" s="17">
        <f>Project_Cost!B9</f>
        <v>1000</v>
      </c>
      <c r="E31" s="5"/>
    </row>
    <row r="32" spans="1:11" x14ac:dyDescent="0.25">
      <c r="A32" s="9" t="s">
        <v>218</v>
      </c>
      <c r="B32" s="18">
        <v>5000</v>
      </c>
      <c r="E32" s="5"/>
    </row>
    <row r="33" spans="1:10" x14ac:dyDescent="0.25">
      <c r="A33" s="9"/>
      <c r="B33" s="18"/>
      <c r="E33" s="5"/>
    </row>
    <row r="34" spans="1:10" x14ac:dyDescent="0.25">
      <c r="A34" s="9"/>
      <c r="B34" s="18"/>
      <c r="E34" s="5"/>
    </row>
    <row r="35" spans="1:10" x14ac:dyDescent="0.25">
      <c r="A35" s="2"/>
      <c r="B35" s="18"/>
      <c r="E35" s="5"/>
    </row>
    <row r="36" spans="1:10" x14ac:dyDescent="0.25">
      <c r="D36" s="5"/>
      <c r="E36" s="5"/>
    </row>
    <row r="37" spans="1:10" x14ac:dyDescent="0.25">
      <c r="D37" s="5"/>
      <c r="E37" s="5"/>
    </row>
    <row r="38" spans="1:10" x14ac:dyDescent="0.25">
      <c r="A38" s="9" t="s">
        <v>143</v>
      </c>
      <c r="B38" s="18" t="s">
        <v>142</v>
      </c>
      <c r="E38" s="5" t="s">
        <v>292</v>
      </c>
      <c r="G38" t="s">
        <v>221</v>
      </c>
      <c r="H38" t="s">
        <v>246</v>
      </c>
    </row>
    <row r="39" spans="1:10" x14ac:dyDescent="0.25">
      <c r="A39" s="1" t="s">
        <v>9</v>
      </c>
      <c r="B39" s="1" t="s">
        <v>131</v>
      </c>
      <c r="C39" s="9" t="s">
        <v>245</v>
      </c>
      <c r="D39" s="1" t="s">
        <v>213</v>
      </c>
      <c r="E39" s="1" t="s">
        <v>216</v>
      </c>
      <c r="F39" s="10" t="s">
        <v>215</v>
      </c>
      <c r="G39" s="168">
        <v>0.15</v>
      </c>
      <c r="H39" s="114"/>
    </row>
    <row r="40" spans="1:10" x14ac:dyDescent="0.25">
      <c r="A40" t="s">
        <v>220</v>
      </c>
      <c r="B40" s="17"/>
      <c r="C40" s="4">
        <v>1.2</v>
      </c>
      <c r="D40" s="4">
        <f>C40*B30</f>
        <v>4800</v>
      </c>
      <c r="E40" s="4">
        <v>0</v>
      </c>
      <c r="F40" s="5">
        <f>D40*(1-$G$39)</f>
        <v>4080</v>
      </c>
      <c r="H40" s="112">
        <f>F40/$K$65</f>
        <v>24.929334619493044</v>
      </c>
    </row>
    <row r="41" spans="1:10" x14ac:dyDescent="0.25">
      <c r="A41" t="s">
        <v>219</v>
      </c>
      <c r="B41" s="17">
        <v>0</v>
      </c>
      <c r="C41" s="4">
        <v>1.2</v>
      </c>
      <c r="D41" s="4">
        <f>Project_Cost!B9*C41</f>
        <v>1200</v>
      </c>
      <c r="E41" s="4">
        <v>0</v>
      </c>
      <c r="F41" s="5">
        <f>D41*(1-$G$39)</f>
        <v>1020</v>
      </c>
      <c r="H41" s="112">
        <f t="shared" ref="H41:H51" si="0">F41/$K$65</f>
        <v>6.2323336548732611</v>
      </c>
    </row>
    <row r="42" spans="1:10" x14ac:dyDescent="0.25">
      <c r="A42" t="s">
        <v>214</v>
      </c>
      <c r="B42" s="12">
        <f>(0.07498+0.007824*($B$4/1000000)^(-0.7495))*(1+$B$3)</f>
        <v>0.1142041220666203</v>
      </c>
      <c r="C42" s="4">
        <f>D42/(Project_Cost!$B$7+Project_Cost!$B$8)</f>
        <v>14.698070509974032</v>
      </c>
      <c r="D42" s="5">
        <f>(B4*B42)</f>
        <v>58792.282039896127</v>
      </c>
      <c r="E42" s="4">
        <v>0</v>
      </c>
      <c r="F42" s="5">
        <f>D42*(1-$G$39)</f>
        <v>49973.439733911706</v>
      </c>
      <c r="H42" s="112">
        <f t="shared" si="0"/>
        <v>305.34426500337116</v>
      </c>
      <c r="J42" s="5">
        <f>$D$51*C78</f>
        <v>6891.1853469237785</v>
      </c>
    </row>
    <row r="43" spans="1:10" x14ac:dyDescent="0.25">
      <c r="A43" t="s">
        <v>243</v>
      </c>
      <c r="B43" s="12">
        <f>(0.07498+0.007824*($B$5/1000000)^(-0.7495))*(1+$B$3)</f>
        <v>0.13558948849106917</v>
      </c>
      <c r="C43" s="4">
        <f>D43/(Project_Cost!$B$7+Project_Cost!$B$8)</f>
        <v>5.8167890562668676</v>
      </c>
      <c r="D43" s="4">
        <f>B43*B5</f>
        <v>23267.156225067469</v>
      </c>
      <c r="E43" s="4">
        <v>0</v>
      </c>
      <c r="F43" s="5">
        <f>D43*(1-$G$39)</f>
        <v>19777.082791307348</v>
      </c>
      <c r="H43" s="112">
        <f t="shared" si="0"/>
        <v>120.84056732890157</v>
      </c>
      <c r="J43" s="5">
        <f t="shared" ref="J43:J47" si="1">$D$51*C79</f>
        <v>8039.7162380777427</v>
      </c>
    </row>
    <row r="44" spans="1:10" x14ac:dyDescent="0.25">
      <c r="A44" t="s">
        <v>11</v>
      </c>
      <c r="B44" s="12">
        <f>(0.07498+0.007824*($B$6/1000000)^(-0.7495))*(1+$B$3)</f>
        <v>0.15750850656797025</v>
      </c>
      <c r="C44" s="4">
        <f>D44/(Project_Cost!$B$7+Project_Cost!$B$8)</f>
        <v>3.6856990536905037</v>
      </c>
      <c r="D44" s="4">
        <f>B44*B6</f>
        <v>14742.796214762015</v>
      </c>
      <c r="E44" s="4">
        <v>0</v>
      </c>
      <c r="F44" s="5">
        <f>D44*(1-$G$39)</f>
        <v>12531.376782547712</v>
      </c>
      <c r="H44" s="112">
        <f t="shared" si="0"/>
        <v>76.568354180166182</v>
      </c>
      <c r="J44" s="5">
        <f t="shared" si="1"/>
        <v>40198.581190388708</v>
      </c>
    </row>
    <row r="45" spans="1:10" x14ac:dyDescent="0.25">
      <c r="A45" t="s">
        <v>13</v>
      </c>
      <c r="B45" s="12">
        <f>(0.07498+0.007824*($E4/1000000)^(-0.7495))*(1+$B$3)</f>
        <v>0.17467067006475087</v>
      </c>
      <c r="C45" s="4">
        <f>E45/(Project_Cost!$B$7+Project_Cost!$B$8)</f>
        <v>2.2685477319440785</v>
      </c>
      <c r="E45" s="4">
        <f>B43 * E4</f>
        <v>9074.1909277763134</v>
      </c>
      <c r="F45" s="5"/>
      <c r="H45" s="112">
        <f t="shared" si="0"/>
        <v>0</v>
      </c>
      <c r="J45" s="5">
        <f t="shared" si="1"/>
        <v>8039.7162380777427</v>
      </c>
    </row>
    <row r="46" spans="1:10" x14ac:dyDescent="0.25">
      <c r="A46" t="s">
        <v>12</v>
      </c>
      <c r="B46" s="12">
        <f>(0.07498+0.007824*($E5/1000000)^(-0.7495))*(1+$B$3)</f>
        <v>0.25546090506742919</v>
      </c>
      <c r="C46" s="4">
        <f>D46/(Project_Cost!$B$7+Project_Cost!$B$8)</f>
        <v>1.6438909241089068</v>
      </c>
      <c r="D46" s="4">
        <f>B46 * E5</f>
        <v>6575.5636964356272</v>
      </c>
      <c r="F46" s="5">
        <f>D46*(1-$G$39)</f>
        <v>5589.2291419702833</v>
      </c>
      <c r="H46" s="112">
        <f t="shared" si="0"/>
        <v>34.150922437548822</v>
      </c>
      <c r="J46" s="5">
        <f t="shared" si="1"/>
        <v>40198.581190388708</v>
      </c>
    </row>
    <row r="47" spans="1:10" x14ac:dyDescent="0.25">
      <c r="A47" t="s">
        <v>14</v>
      </c>
      <c r="B47" s="12">
        <f>(0.07498+0.007824*($E6/1000000)^(-0.7495))*(1+$B$3)</f>
        <v>0.23528210079395614</v>
      </c>
      <c r="C47" s="4">
        <f>E47/(Project_Cost!$B$7+Project_Cost!$B$8)</f>
        <v>1.8168483823309294</v>
      </c>
      <c r="D47" s="4"/>
      <c r="E47" s="4">
        <f>B47 * E6</f>
        <v>7267.3935293237173</v>
      </c>
      <c r="F47" s="5"/>
      <c r="H47" s="112"/>
      <c r="J47" s="5">
        <f t="shared" si="1"/>
        <v>11485.308911539632</v>
      </c>
    </row>
    <row r="48" spans="1:10" x14ac:dyDescent="0.25">
      <c r="A48" t="s">
        <v>15</v>
      </c>
      <c r="B48" s="12">
        <f>(0.07498+0.007824*($E7/1000000)^(-0.7495))*(1+$B$3)</f>
        <v>0.26844259022869371</v>
      </c>
      <c r="C48" s="4">
        <f>E48/(Project_Cost!$B$7+Project_Cost!$B$8)</f>
        <v>1.5546852613094795</v>
      </c>
      <c r="D48" s="4"/>
      <c r="E48" s="4">
        <f>B48 * E7</f>
        <v>6218.7410452379181</v>
      </c>
      <c r="F48" s="5"/>
      <c r="H48" s="112"/>
      <c r="J48" s="5"/>
    </row>
    <row r="49" spans="1:67" x14ac:dyDescent="0.25">
      <c r="A49" t="s">
        <v>16</v>
      </c>
      <c r="B49" s="12">
        <f>(0.07498+0.007824*($E8/1000000)^(-0.7495))*(1+$B$3)</f>
        <v>0.30387895100649809</v>
      </c>
      <c r="C49" s="4">
        <f>D49/(Project_Cost!$B$7+Project_Cost!$B$8)</f>
        <v>1.3688227348087707</v>
      </c>
      <c r="D49" s="4">
        <f>B49 * E8</f>
        <v>5475.290939235083</v>
      </c>
      <c r="E49" s="4">
        <v>0</v>
      </c>
      <c r="F49" s="5">
        <f>D49*(1-$G$39)</f>
        <v>4653.9972983498201</v>
      </c>
      <c r="H49" s="112">
        <f t="shared" si="0"/>
        <v>28.436533325681193</v>
      </c>
      <c r="J49" s="5"/>
    </row>
    <row r="50" spans="1:67" x14ac:dyDescent="0.25">
      <c r="A50" t="s">
        <v>17</v>
      </c>
      <c r="B50" s="12">
        <f>(0.07498+0.007824*($E9/1000000)^(-0.7495))*(1+$B$3)</f>
        <v>0.48698408888320216</v>
      </c>
      <c r="C50" s="4">
        <f>E50/(Project_Cost!$B$7+Project_Cost!$B$8)</f>
        <v>0.94012278358902179</v>
      </c>
      <c r="E50" s="4">
        <f>B50 * E9</f>
        <v>3760.4911343560871</v>
      </c>
      <c r="F50" s="5"/>
      <c r="H50" s="112"/>
    </row>
    <row r="51" spans="1:67" ht="15.75" x14ac:dyDescent="0.25">
      <c r="A51" s="2" t="s">
        <v>213</v>
      </c>
      <c r="B51" s="15">
        <f>D51/B7</f>
        <v>0.147247550147944</v>
      </c>
      <c r="C51" s="13">
        <f>D51/(Project_Cost!$B$7+Project_Cost!$B$8)</f>
        <v>28.713272278849079</v>
      </c>
      <c r="D51" s="110">
        <f>SUM(D40:D50)</f>
        <v>114853.08911539632</v>
      </c>
      <c r="E51" s="10">
        <f>SUM(E40:E50)</f>
        <v>26320.816636694035</v>
      </c>
      <c r="F51" s="10">
        <f>SUM(F40:F50)</f>
        <v>97625.125748086866</v>
      </c>
      <c r="G51" s="6"/>
      <c r="H51" s="113">
        <f t="shared" si="0"/>
        <v>596.50231055003519</v>
      </c>
    </row>
    <row r="52" spans="1:67" x14ac:dyDescent="0.25">
      <c r="B52" s="15">
        <f>F51/B7</f>
        <v>0.12516041762575239</v>
      </c>
    </row>
    <row r="54" spans="1:67" x14ac:dyDescent="0.25">
      <c r="E54" t="s">
        <v>257</v>
      </c>
      <c r="F54" s="5">
        <f>F51-F55-F56</f>
        <v>65316.66617423181</v>
      </c>
    </row>
    <row r="55" spans="1:67" x14ac:dyDescent="0.25">
      <c r="A55" s="9" t="s">
        <v>144</v>
      </c>
      <c r="B55" s="9" t="s">
        <v>145</v>
      </c>
      <c r="C55" s="109"/>
      <c r="E55" t="s">
        <v>255</v>
      </c>
      <c r="F55" s="5">
        <f>+F43</f>
        <v>19777.082791307348</v>
      </c>
    </row>
    <row r="56" spans="1:67" x14ac:dyDescent="0.25">
      <c r="A56" s="9" t="s">
        <v>119</v>
      </c>
      <c r="B56" s="109">
        <f>0.21767+11.21274*(B32 ^ -0.53816)- 0.08</f>
        <v>0.25224082869034481</v>
      </c>
      <c r="C56" s="106">
        <f>0.21767 + 11.21274 * (B32 ^ -0.53816)</f>
        <v>0.33224082869034482</v>
      </c>
      <c r="E56" t="s">
        <v>256</v>
      </c>
      <c r="F56" s="5">
        <f>F44</f>
        <v>12531.376782547712</v>
      </c>
    </row>
    <row r="57" spans="1:67" x14ac:dyDescent="0.25">
      <c r="A57" s="9" t="s">
        <v>120</v>
      </c>
      <c r="B57" s="107">
        <f>$C$56*$B$32</f>
        <v>1661.2041434517241</v>
      </c>
      <c r="F57" s="5">
        <f>SUM(F54:F56)</f>
        <v>97625.125748086866</v>
      </c>
    </row>
    <row r="58" spans="1:67" ht="27.75" customHeight="1" x14ac:dyDescent="0.25">
      <c r="B58" s="107">
        <f>1100</f>
        <v>1100</v>
      </c>
      <c r="D58" s="163" t="s">
        <v>181</v>
      </c>
      <c r="E58" s="164"/>
      <c r="F58" s="164"/>
      <c r="G58" s="164"/>
      <c r="H58" s="164"/>
      <c r="I58" s="164"/>
      <c r="J58" s="171"/>
      <c r="K58" s="92" t="s">
        <v>206</v>
      </c>
      <c r="L58" s="92"/>
      <c r="M58" s="92" t="s">
        <v>207</v>
      </c>
      <c r="N58" s="93" t="s">
        <v>208</v>
      </c>
      <c r="Q58" s="165" t="s">
        <v>209</v>
      </c>
      <c r="R58" s="165"/>
      <c r="S58" s="165"/>
      <c r="T58" s="165"/>
      <c r="U58" s="165"/>
      <c r="V58" s="165"/>
      <c r="W58" s="165"/>
    </row>
    <row r="59" spans="1:67" ht="40.15" customHeight="1" x14ac:dyDescent="0.25">
      <c r="E59" s="61" t="s">
        <v>150</v>
      </c>
      <c r="F59" s="91" t="s">
        <v>196</v>
      </c>
      <c r="G59" s="91" t="s">
        <v>196</v>
      </c>
      <c r="H59" s="91" t="s">
        <v>197</v>
      </c>
      <c r="I59" s="91" t="s">
        <v>197</v>
      </c>
      <c r="J59" s="91" t="s">
        <v>198</v>
      </c>
      <c r="K59" s="64" t="s">
        <v>199</v>
      </c>
      <c r="L59" s="64" t="s">
        <v>258</v>
      </c>
      <c r="M59" s="64" t="s">
        <v>200</v>
      </c>
      <c r="N59" s="64" t="s">
        <v>201</v>
      </c>
      <c r="Q59" s="61" t="s">
        <v>150</v>
      </c>
      <c r="R59" s="91" t="s">
        <v>196</v>
      </c>
      <c r="S59" s="91" t="s">
        <v>196</v>
      </c>
      <c r="T59" s="91" t="s">
        <v>202</v>
      </c>
      <c r="U59" s="91" t="s">
        <v>202</v>
      </c>
      <c r="V59" s="91" t="s">
        <v>203</v>
      </c>
      <c r="W59" s="91" t="s">
        <v>204</v>
      </c>
      <c r="X59" s="91" t="s">
        <v>205</v>
      </c>
    </row>
    <row r="60" spans="1:67" ht="16.899999999999999" customHeight="1" x14ac:dyDescent="0.25">
      <c r="A60" s="97"/>
      <c r="E60" s="96">
        <v>0</v>
      </c>
      <c r="F60" s="96">
        <v>74318.149999999994</v>
      </c>
      <c r="G60" s="96">
        <v>74318.149999999994</v>
      </c>
      <c r="H60" s="96">
        <v>74318.149999999994</v>
      </c>
      <c r="I60" s="96">
        <v>74318.149999999994</v>
      </c>
      <c r="J60" s="96">
        <v>74318.149999999994</v>
      </c>
      <c r="K60" s="96">
        <v>371590.75</v>
      </c>
      <c r="L60" s="96">
        <f>K60</f>
        <v>371590.75</v>
      </c>
      <c r="M60" s="96">
        <v>275000</v>
      </c>
      <c r="N60" s="96">
        <v>162520</v>
      </c>
      <c r="O60" s="96"/>
      <c r="P60" s="96"/>
      <c r="Q60" s="96">
        <v>50255.15</v>
      </c>
      <c r="R60" s="96">
        <v>74318.149999999994</v>
      </c>
      <c r="S60" s="96">
        <v>74318.149999999994</v>
      </c>
      <c r="T60" s="96">
        <v>128459.9</v>
      </c>
      <c r="U60" s="96">
        <v>128459.9</v>
      </c>
      <c r="V60" s="96">
        <v>188617.4</v>
      </c>
      <c r="W60" s="96">
        <v>644428.65</v>
      </c>
      <c r="X60" s="96">
        <v>793064.95</v>
      </c>
      <c r="AA60" t="s">
        <v>192</v>
      </c>
      <c r="AB60" t="s">
        <v>193</v>
      </c>
      <c r="AC60" t="s">
        <v>194</v>
      </c>
      <c r="AD60">
        <v>1200</v>
      </c>
      <c r="AZ60" t="s">
        <v>195</v>
      </c>
      <c r="BO60">
        <v>4</v>
      </c>
    </row>
    <row r="61" spans="1:67" x14ac:dyDescent="0.25">
      <c r="A61" s="98"/>
      <c r="B61" s="94"/>
      <c r="C61" s="94"/>
      <c r="D61" s="44"/>
      <c r="E61" s="95">
        <v>0</v>
      </c>
      <c r="F61" s="152">
        <v>81966.686943296139</v>
      </c>
      <c r="G61" s="152">
        <v>81966.686943296139</v>
      </c>
      <c r="H61" s="152">
        <v>88295.9045495264</v>
      </c>
      <c r="I61" s="152">
        <v>88295.9045495264</v>
      </c>
      <c r="J61" s="152">
        <v>138929.64539936854</v>
      </c>
      <c r="K61" s="95">
        <v>261331.01062302673</v>
      </c>
      <c r="L61" s="95">
        <v>184198.28193554335</v>
      </c>
      <c r="M61" s="95">
        <v>249946.53105252358</v>
      </c>
      <c r="N61" s="95">
        <v>81515</v>
      </c>
      <c r="O61" s="95"/>
      <c r="P61" s="95"/>
      <c r="Q61" s="95">
        <v>77226.379943655629</v>
      </c>
      <c r="R61" s="95">
        <v>83058.996876358389</v>
      </c>
      <c r="S61" s="95">
        <v>83058.996876358389</v>
      </c>
      <c r="T61" s="95">
        <v>119672.77289858241</v>
      </c>
      <c r="U61" s="95">
        <v>119672.77289858241</v>
      </c>
      <c r="V61" s="95">
        <v>314404.99723834882</v>
      </c>
      <c r="W61" s="95">
        <v>304432.17716299806</v>
      </c>
      <c r="X61" s="95">
        <v>377269.78522872832</v>
      </c>
    </row>
    <row r="62" spans="1:67" x14ac:dyDescent="0.25">
      <c r="A62" s="99"/>
      <c r="E62" s="96">
        <v>0</v>
      </c>
      <c r="F62" s="96">
        <f>F60+F61</f>
        <v>156284.83694329613</v>
      </c>
      <c r="G62" s="96">
        <f t="shared" ref="G62:J62" si="2">G60+G61</f>
        <v>156284.83694329613</v>
      </c>
      <c r="H62" s="96">
        <f t="shared" si="2"/>
        <v>162614.05454952639</v>
      </c>
      <c r="I62" s="96">
        <f t="shared" si="2"/>
        <v>162614.05454952639</v>
      </c>
      <c r="J62" s="96">
        <f t="shared" si="2"/>
        <v>213247.79539936854</v>
      </c>
      <c r="K62" s="96">
        <f>K60+K61</f>
        <v>632921.76062302676</v>
      </c>
      <c r="L62" s="5">
        <f>L60+L61</f>
        <v>555789.03193554329</v>
      </c>
      <c r="M62" s="96">
        <v>458757.38536330801</v>
      </c>
      <c r="N62" s="96">
        <v>244035</v>
      </c>
      <c r="O62" s="96"/>
      <c r="P62" s="96"/>
      <c r="Q62" s="96">
        <v>127481.52994365562</v>
      </c>
      <c r="R62" s="96">
        <v>157377.14687635837</v>
      </c>
      <c r="S62" s="96">
        <v>157377.14687635837</v>
      </c>
      <c r="T62" s="96">
        <v>248132.67289858242</v>
      </c>
      <c r="U62" s="96">
        <v>248132.67289858242</v>
      </c>
      <c r="V62" s="96">
        <v>503022.39723834884</v>
      </c>
      <c r="W62" s="96">
        <v>948860.82716299803</v>
      </c>
      <c r="X62" s="96">
        <v>1170334.7352287283</v>
      </c>
    </row>
    <row r="63" spans="1:67" x14ac:dyDescent="0.25">
      <c r="A63" s="44"/>
      <c r="B63" s="44"/>
      <c r="C63" s="44"/>
      <c r="D63" s="44"/>
      <c r="E63" s="158" t="s">
        <v>181</v>
      </c>
      <c r="F63" s="159"/>
      <c r="G63" s="159"/>
      <c r="H63" s="159"/>
      <c r="I63" s="159"/>
      <c r="J63" s="159"/>
      <c r="K63" s="160"/>
      <c r="L63" s="115"/>
      <c r="P63" s="11"/>
      <c r="Q63" s="158" t="s">
        <v>210</v>
      </c>
      <c r="R63" s="159"/>
      <c r="S63" s="159"/>
      <c r="T63" s="159"/>
      <c r="U63" s="159"/>
      <c r="V63" s="159"/>
      <c r="W63" s="160"/>
    </row>
    <row r="64" spans="1:67" ht="15.75" x14ac:dyDescent="0.25">
      <c r="A64" s="161" t="s">
        <v>182</v>
      </c>
      <c r="B64" s="161"/>
      <c r="C64" s="162"/>
      <c r="D64" s="78" t="s">
        <v>183</v>
      </c>
      <c r="E64" s="61" t="s">
        <v>150</v>
      </c>
      <c r="F64" s="62" t="s">
        <v>151</v>
      </c>
      <c r="G64" s="62" t="s">
        <v>151</v>
      </c>
      <c r="H64" s="62" t="s">
        <v>152</v>
      </c>
      <c r="I64" s="62" t="s">
        <v>153</v>
      </c>
      <c r="J64" s="63" t="s">
        <v>154</v>
      </c>
      <c r="K64" s="64" t="s">
        <v>184</v>
      </c>
      <c r="L64" s="116"/>
      <c r="P64" s="78" t="s">
        <v>183</v>
      </c>
      <c r="Q64" s="61" t="s">
        <v>150</v>
      </c>
      <c r="R64" s="61" t="s">
        <v>151</v>
      </c>
      <c r="S64" s="61" t="s">
        <v>151</v>
      </c>
      <c r="T64" s="61" t="s">
        <v>152</v>
      </c>
      <c r="U64" s="61" t="s">
        <v>153</v>
      </c>
      <c r="V64" s="91" t="s">
        <v>154</v>
      </c>
      <c r="W64" s="64" t="s">
        <v>184</v>
      </c>
    </row>
    <row r="65" spans="1:23" x14ac:dyDescent="0.25">
      <c r="A65" s="79" t="s">
        <v>185</v>
      </c>
      <c r="B65" s="44"/>
      <c r="C65" s="44"/>
      <c r="D65" s="80">
        <v>1</v>
      </c>
      <c r="E65" s="81">
        <f>E68*(1+$D$65)</f>
        <v>0</v>
      </c>
      <c r="F65" s="81">
        <f>F68*(1+$D$65)</f>
        <v>150.27388167624628</v>
      </c>
      <c r="G65" s="81">
        <f t="shared" ref="G65:J65" si="3">G68*(1+$D$65)</f>
        <v>150.27388167624628</v>
      </c>
      <c r="H65" s="81">
        <f t="shared" si="3"/>
        <v>156.35966783608308</v>
      </c>
      <c r="I65" s="81">
        <f t="shared" si="3"/>
        <v>156.35966783608308</v>
      </c>
      <c r="J65" s="81">
        <f t="shared" si="3"/>
        <v>205.04595711477742</v>
      </c>
      <c r="K65" s="82">
        <f>AVERAGE(F65:J65)</f>
        <v>163.66261122788723</v>
      </c>
      <c r="L65" s="82"/>
      <c r="P65" s="80">
        <v>1</v>
      </c>
      <c r="Q65" s="100">
        <f>Q68*(1+$P$65)</f>
        <v>122.57839417659196</v>
      </c>
      <c r="R65" s="100">
        <f t="shared" ref="R65:V65" si="4">R68*(1+$P$65)</f>
        <v>151.32417968880614</v>
      </c>
      <c r="S65" s="100">
        <f t="shared" si="4"/>
        <v>151.32417968880614</v>
      </c>
      <c r="T65" s="100">
        <f t="shared" si="4"/>
        <v>238.58910855632922</v>
      </c>
      <c r="U65" s="100">
        <f t="shared" si="4"/>
        <v>238.58910855632922</v>
      </c>
      <c r="V65" s="100">
        <f t="shared" si="4"/>
        <v>483.67538195995076</v>
      </c>
      <c r="W65" s="101">
        <f>AVERAGE(R65:V65)</f>
        <v>252.70039169004431</v>
      </c>
    </row>
    <row r="66" spans="1:23" x14ac:dyDescent="0.25">
      <c r="A66" s="44" t="s">
        <v>186</v>
      </c>
      <c r="B66" s="44"/>
      <c r="C66" s="44"/>
      <c r="D66" s="83">
        <v>2080</v>
      </c>
      <c r="E66" s="83">
        <f>E60/$D$66</f>
        <v>0</v>
      </c>
      <c r="F66" s="83">
        <f>F60/$D$66</f>
        <v>35.729879807692306</v>
      </c>
      <c r="G66" s="83">
        <f t="shared" ref="G66:J66" si="5">G60/$D$66</f>
        <v>35.729879807692306</v>
      </c>
      <c r="H66" s="83">
        <f t="shared" si="5"/>
        <v>35.729879807692306</v>
      </c>
      <c r="I66" s="83">
        <f t="shared" si="5"/>
        <v>35.729879807692306</v>
      </c>
      <c r="J66" s="83">
        <f t="shared" si="5"/>
        <v>35.729879807692306</v>
      </c>
      <c r="K66" s="84">
        <f>AVERAGE(F66:J66)</f>
        <v>35.729879807692306</v>
      </c>
      <c r="L66" s="84"/>
      <c r="P66" s="11">
        <f>D66</f>
        <v>2080</v>
      </c>
      <c r="Q66" s="69">
        <f>Q60/$P$66</f>
        <v>24.161129807692308</v>
      </c>
      <c r="R66" s="69">
        <f t="shared" ref="R66:V66" si="6">R60/$P$66</f>
        <v>35.729879807692306</v>
      </c>
      <c r="S66" s="69">
        <f t="shared" si="6"/>
        <v>35.729879807692306</v>
      </c>
      <c r="T66" s="69">
        <f t="shared" si="6"/>
        <v>61.759567307692308</v>
      </c>
      <c r="U66" s="69">
        <f t="shared" si="6"/>
        <v>61.759567307692308</v>
      </c>
      <c r="V66" s="69">
        <f t="shared" si="6"/>
        <v>90.681442307692308</v>
      </c>
      <c r="W66" s="84">
        <f>AVERAGE(R66:V66)</f>
        <v>57.13206730769231</v>
      </c>
    </row>
    <row r="67" spans="1:23" x14ac:dyDescent="0.25">
      <c r="A67" s="85" t="s">
        <v>187</v>
      </c>
      <c r="B67" s="44"/>
      <c r="C67" s="44"/>
      <c r="D67" s="83">
        <v>2080</v>
      </c>
      <c r="E67" s="86">
        <f>E61/$D$67</f>
        <v>0</v>
      </c>
      <c r="F67" s="86">
        <f>F61/$D$67</f>
        <v>39.407061030430839</v>
      </c>
      <c r="G67" s="86">
        <f t="shared" ref="G67:J67" si="7">G61/$D$67</f>
        <v>39.407061030430839</v>
      </c>
      <c r="H67" s="86">
        <f t="shared" si="7"/>
        <v>42.449954110349232</v>
      </c>
      <c r="I67" s="86">
        <f t="shared" si="7"/>
        <v>42.449954110349232</v>
      </c>
      <c r="J67" s="86">
        <f t="shared" si="7"/>
        <v>66.793098749696412</v>
      </c>
      <c r="K67" s="87">
        <f>AVERAGE(F67:J67)</f>
        <v>46.101425806251314</v>
      </c>
      <c r="L67" s="84"/>
      <c r="P67" s="11">
        <f>D67</f>
        <v>2080</v>
      </c>
      <c r="Q67" s="69">
        <f>Q61/$P$66</f>
        <v>37.128067280603666</v>
      </c>
      <c r="R67" s="69">
        <f t="shared" ref="R67:V67" si="8">R61/$P$66</f>
        <v>39.932210036710764</v>
      </c>
      <c r="S67" s="69">
        <f t="shared" si="8"/>
        <v>39.932210036710764</v>
      </c>
      <c r="T67" s="69">
        <f t="shared" si="8"/>
        <v>57.53498697047231</v>
      </c>
      <c r="U67" s="69">
        <f t="shared" si="8"/>
        <v>57.53498697047231</v>
      </c>
      <c r="V67" s="69">
        <f t="shared" si="8"/>
        <v>151.15624867228308</v>
      </c>
      <c r="W67" s="87">
        <f>AVERAGE(R67:V67)</f>
        <v>69.218128537329846</v>
      </c>
    </row>
    <row r="68" spans="1:23" x14ac:dyDescent="0.25">
      <c r="A68" s="79" t="s">
        <v>188</v>
      </c>
      <c r="B68" s="28"/>
      <c r="C68" s="28"/>
      <c r="D68" s="28"/>
      <c r="E68" s="81">
        <f>E66+E67</f>
        <v>0</v>
      </c>
      <c r="F68" s="81">
        <f>F66+F67</f>
        <v>75.136940838123138</v>
      </c>
      <c r="G68" s="81">
        <f t="shared" ref="G68:J68" si="9">G66+G67</f>
        <v>75.136940838123138</v>
      </c>
      <c r="H68" s="81">
        <f t="shared" si="9"/>
        <v>78.179833918041538</v>
      </c>
      <c r="I68" s="81">
        <f t="shared" si="9"/>
        <v>78.179833918041538</v>
      </c>
      <c r="J68" s="81">
        <f t="shared" si="9"/>
        <v>102.52297855738871</v>
      </c>
      <c r="K68" s="82">
        <f>K66+K67</f>
        <v>81.831305613943613</v>
      </c>
      <c r="L68" s="82"/>
      <c r="P68" s="11"/>
      <c r="Q68" s="69">
        <f t="shared" ref="Q68:W68" si="10">Q66+Q67</f>
        <v>61.289197088295978</v>
      </c>
      <c r="R68" s="69">
        <f t="shared" si="10"/>
        <v>75.66208984440307</v>
      </c>
      <c r="S68" s="69">
        <f t="shared" si="10"/>
        <v>75.66208984440307</v>
      </c>
      <c r="T68" s="69">
        <f t="shared" si="10"/>
        <v>119.29455427816461</v>
      </c>
      <c r="U68" s="69">
        <f t="shared" si="10"/>
        <v>119.29455427816461</v>
      </c>
      <c r="V68" s="69">
        <f t="shared" si="10"/>
        <v>241.83769097997538</v>
      </c>
      <c r="W68" s="82">
        <f t="shared" si="10"/>
        <v>126.35019584502216</v>
      </c>
    </row>
    <row r="69" spans="1:23" x14ac:dyDescent="0.25">
      <c r="A69" s="35" t="s">
        <v>189</v>
      </c>
      <c r="B69" s="44"/>
      <c r="C69" s="44"/>
      <c r="D69" s="44"/>
      <c r="E69" s="57"/>
      <c r="F69" s="57">
        <f t="shared" ref="F69:K69" si="11">(F65-F68)/F65</f>
        <v>0.5</v>
      </c>
      <c r="G69" s="57">
        <f t="shared" si="11"/>
        <v>0.5</v>
      </c>
      <c r="H69" s="57">
        <f t="shared" si="11"/>
        <v>0.5</v>
      </c>
      <c r="I69" s="57">
        <f t="shared" si="11"/>
        <v>0.5</v>
      </c>
      <c r="J69" s="57">
        <f t="shared" si="11"/>
        <v>0.5</v>
      </c>
      <c r="K69" s="57">
        <f t="shared" si="11"/>
        <v>0.5</v>
      </c>
      <c r="L69" s="57"/>
      <c r="P69" s="44"/>
      <c r="Q69" s="57">
        <f t="shared" ref="Q69:W69" si="12">(Q65-Q68)/Q65</f>
        <v>0.5</v>
      </c>
      <c r="R69" s="57">
        <f t="shared" si="12"/>
        <v>0.5</v>
      </c>
      <c r="S69" s="57">
        <f t="shared" si="12"/>
        <v>0.5</v>
      </c>
      <c r="T69" s="57">
        <f t="shared" si="12"/>
        <v>0.5</v>
      </c>
      <c r="U69" s="57">
        <f t="shared" si="12"/>
        <v>0.5</v>
      </c>
      <c r="V69" s="57">
        <f t="shared" si="12"/>
        <v>0.5</v>
      </c>
      <c r="W69" s="57">
        <f t="shared" si="12"/>
        <v>0.5</v>
      </c>
    </row>
    <row r="70" spans="1:23" x14ac:dyDescent="0.25">
      <c r="A70" s="88" t="s">
        <v>190</v>
      </c>
      <c r="B70" s="89"/>
      <c r="C70" s="89"/>
      <c r="D70" s="88"/>
      <c r="E70" s="90"/>
      <c r="F70" s="90">
        <v>60.815467697191487</v>
      </c>
      <c r="G70" s="90">
        <v>60.815467697191487</v>
      </c>
      <c r="H70" s="90">
        <v>60.815467697191487</v>
      </c>
      <c r="I70" s="90">
        <v>60.815467697191487</v>
      </c>
      <c r="J70" s="90">
        <v>60.815467697191487</v>
      </c>
      <c r="K70" s="90"/>
      <c r="L70" s="90"/>
      <c r="P70" s="90"/>
      <c r="Q70" s="90">
        <f>SUM(Q31:Q45)/2080</f>
        <v>0</v>
      </c>
      <c r="R70" s="90">
        <f>SUM(R31:R45)/2080</f>
        <v>0</v>
      </c>
      <c r="S70" s="90">
        <f>SUM(S31:S45)/2080</f>
        <v>0</v>
      </c>
      <c r="T70" s="90">
        <f>SUM(T31:T45)/2080</f>
        <v>0</v>
      </c>
      <c r="U70" s="90">
        <f>SUM(U31:U45)/2080</f>
        <v>0</v>
      </c>
      <c r="V70" s="90">
        <f>SUM(V31:V45)/2080</f>
        <v>0</v>
      </c>
      <c r="W70" s="102"/>
    </row>
    <row r="73" spans="1:23" ht="15.75" x14ac:dyDescent="0.25">
      <c r="A73" s="21" t="s">
        <v>146</v>
      </c>
      <c r="B73" s="22" t="s">
        <v>147</v>
      </c>
      <c r="C73" s="23" t="s">
        <v>148</v>
      </c>
      <c r="D73" s="24" t="s">
        <v>149</v>
      </c>
      <c r="E73" s="25" t="s">
        <v>150</v>
      </c>
      <c r="F73" s="26" t="s">
        <v>151</v>
      </c>
      <c r="G73" s="26" t="s">
        <v>151</v>
      </c>
      <c r="H73" s="26" t="s">
        <v>152</v>
      </c>
      <c r="I73" s="26" t="s">
        <v>153</v>
      </c>
      <c r="J73" s="27" t="s">
        <v>154</v>
      </c>
      <c r="K73" s="25" t="s">
        <v>35</v>
      </c>
      <c r="L73" s="117"/>
    </row>
    <row r="74" spans="1:23" x14ac:dyDescent="0.25">
      <c r="A74" s="28" t="s">
        <v>155</v>
      </c>
      <c r="B74" s="29"/>
      <c r="C74" s="30"/>
      <c r="D74" s="31">
        <f>B32</f>
        <v>5000</v>
      </c>
      <c r="E74" s="32"/>
      <c r="F74" s="32"/>
      <c r="G74" s="32"/>
      <c r="H74" s="32"/>
      <c r="I74" s="32"/>
      <c r="J74" s="33"/>
      <c r="K74" s="34"/>
      <c r="L74" s="34"/>
    </row>
    <row r="75" spans="1:23" ht="17.45" customHeight="1" x14ac:dyDescent="0.25">
      <c r="A75" s="35" t="s">
        <v>156</v>
      </c>
      <c r="B75" s="29"/>
      <c r="C75" s="30"/>
      <c r="D75" s="36">
        <f>D76/D74</f>
        <v>0.22</v>
      </c>
      <c r="E75" s="32"/>
      <c r="F75" s="32"/>
      <c r="G75" s="32"/>
      <c r="H75" s="32"/>
      <c r="I75" s="32"/>
      <c r="J75" s="33"/>
      <c r="K75" s="34"/>
      <c r="L75" s="34"/>
    </row>
    <row r="76" spans="1:23" ht="15.6" customHeight="1" x14ac:dyDescent="0.25">
      <c r="A76" s="35" t="s">
        <v>157</v>
      </c>
      <c r="B76" s="29"/>
      <c r="C76" s="30"/>
      <c r="D76" s="37">
        <f>B58</f>
        <v>1100</v>
      </c>
      <c r="E76" s="32"/>
      <c r="F76" s="32"/>
      <c r="G76" s="32"/>
      <c r="H76" s="32"/>
      <c r="I76" s="32"/>
      <c r="J76" s="33"/>
      <c r="K76" s="34"/>
      <c r="L76" s="34"/>
    </row>
    <row r="77" spans="1:23" s="134" customFormat="1" x14ac:dyDescent="0.25">
      <c r="A77" s="126" t="s">
        <v>254</v>
      </c>
      <c r="B77" s="127"/>
      <c r="C77" s="128"/>
      <c r="D77" s="129">
        <f>$D$76*C77</f>
        <v>0</v>
      </c>
      <c r="E77" s="130">
        <v>1.0000000000000001E-5</v>
      </c>
      <c r="F77" s="131">
        <v>0.08</v>
      </c>
      <c r="G77" s="131">
        <v>0.08</v>
      </c>
      <c r="H77" s="131">
        <v>0.08</v>
      </c>
      <c r="I77" s="130">
        <v>0.08</v>
      </c>
      <c r="J77" s="131">
        <v>0.68</v>
      </c>
      <c r="K77" s="131">
        <f>SUM(E77:J77)</f>
        <v>1.0000100000000001</v>
      </c>
      <c r="L77" s="132">
        <v>0</v>
      </c>
      <c r="M77" s="133"/>
    </row>
    <row r="78" spans="1:23" x14ac:dyDescent="0.25">
      <c r="A78" s="35" t="s">
        <v>159</v>
      </c>
      <c r="B78" s="38">
        <v>1</v>
      </c>
      <c r="C78" s="154">
        <v>0.06</v>
      </c>
      <c r="D78" s="39">
        <f t="shared" ref="D78:D84" si="13">$D$76*C78</f>
        <v>66</v>
      </c>
      <c r="E78" s="40">
        <v>1.0000000000000001E-5</v>
      </c>
      <c r="F78" s="41">
        <v>0.37</v>
      </c>
      <c r="G78" s="41">
        <v>0.37</v>
      </c>
      <c r="H78" s="41">
        <v>0.1</v>
      </c>
      <c r="I78" s="41">
        <v>0.02</v>
      </c>
      <c r="J78" s="41">
        <v>0.14000000000000001</v>
      </c>
      <c r="K78" s="42">
        <f>SUM(E78:J78)</f>
        <v>1.0000100000000001</v>
      </c>
      <c r="L78" s="118">
        <v>80</v>
      </c>
      <c r="M78" s="4">
        <f>L78*150</f>
        <v>12000</v>
      </c>
      <c r="N78" s="151">
        <f t="shared" ref="N78:N82" si="14">L78/$D$76*100</f>
        <v>7.2727272727272725</v>
      </c>
    </row>
    <row r="79" spans="1:23" x14ac:dyDescent="0.25">
      <c r="A79" s="35" t="s">
        <v>250</v>
      </c>
      <c r="B79" s="38">
        <v>1</v>
      </c>
      <c r="C79" s="154">
        <v>7.0000000000000007E-2</v>
      </c>
      <c r="D79" s="39">
        <f t="shared" si="13"/>
        <v>77.000000000000014</v>
      </c>
      <c r="E79" s="40">
        <v>1.0000000000000001E-5</v>
      </c>
      <c r="F79" s="41">
        <v>0</v>
      </c>
      <c r="G79" s="41">
        <v>0</v>
      </c>
      <c r="H79" s="41">
        <v>0.95</v>
      </c>
      <c r="I79" s="41">
        <v>0</v>
      </c>
      <c r="J79" s="41">
        <v>0.05</v>
      </c>
      <c r="K79" s="42">
        <f>SUM(E79:J79)</f>
        <v>1.0000099999999998</v>
      </c>
      <c r="L79" s="118">
        <v>80</v>
      </c>
      <c r="M79" s="4">
        <f t="shared" ref="M79:M83" si="15">L79*150</f>
        <v>12000</v>
      </c>
      <c r="N79" s="151">
        <f t="shared" si="14"/>
        <v>7.2727272727272725</v>
      </c>
    </row>
    <row r="80" spans="1:23" x14ac:dyDescent="0.25">
      <c r="A80" s="35" t="s">
        <v>249</v>
      </c>
      <c r="B80" s="38">
        <v>3</v>
      </c>
      <c r="C80" s="154">
        <v>0.35</v>
      </c>
      <c r="D80" s="39">
        <f t="shared" si="13"/>
        <v>385</v>
      </c>
      <c r="E80" s="40">
        <v>1.0000000000000001E-5</v>
      </c>
      <c r="F80" s="41">
        <v>0.32</v>
      </c>
      <c r="G80" s="41">
        <v>0.32</v>
      </c>
      <c r="H80" s="41">
        <v>0.32</v>
      </c>
      <c r="I80" s="41">
        <v>0.02</v>
      </c>
      <c r="J80" s="41">
        <v>0.02</v>
      </c>
      <c r="K80" s="42">
        <f t="shared" ref="K80:K81" si="16">SUM(E80:J80)</f>
        <v>1.0000100000000001</v>
      </c>
      <c r="L80" s="118">
        <v>400</v>
      </c>
      <c r="M80" s="4">
        <f t="shared" si="15"/>
        <v>60000</v>
      </c>
      <c r="N80" s="151">
        <f t="shared" si="14"/>
        <v>36.363636363636367</v>
      </c>
    </row>
    <row r="81" spans="1:23" x14ac:dyDescent="0.25">
      <c r="A81" s="35" t="s">
        <v>251</v>
      </c>
      <c r="B81" s="38">
        <v>1</v>
      </c>
      <c r="C81" s="154">
        <v>7.0000000000000007E-2</v>
      </c>
      <c r="D81" s="39">
        <f t="shared" si="13"/>
        <v>77.000000000000014</v>
      </c>
      <c r="E81" s="40">
        <v>1.0000000000000001E-5</v>
      </c>
      <c r="F81" s="41">
        <v>0.32</v>
      </c>
      <c r="G81" s="41">
        <v>0.32</v>
      </c>
      <c r="H81" s="41">
        <v>0.32</v>
      </c>
      <c r="I81" s="41">
        <v>0.02</v>
      </c>
      <c r="J81" s="41">
        <v>0.02</v>
      </c>
      <c r="K81" s="42">
        <f t="shared" si="16"/>
        <v>1.0000100000000001</v>
      </c>
      <c r="L81" s="118">
        <v>80</v>
      </c>
      <c r="M81" s="4">
        <f t="shared" si="15"/>
        <v>12000</v>
      </c>
      <c r="N81" s="151">
        <f t="shared" si="14"/>
        <v>7.2727272727272725</v>
      </c>
    </row>
    <row r="82" spans="1:23" x14ac:dyDescent="0.25">
      <c r="A82" s="35" t="s">
        <v>252</v>
      </c>
      <c r="B82" s="38">
        <v>3</v>
      </c>
      <c r="C82" s="154">
        <v>0.35</v>
      </c>
      <c r="D82" s="39">
        <f t="shared" si="13"/>
        <v>385</v>
      </c>
      <c r="E82" s="40">
        <v>1.0000000000000001E-5</v>
      </c>
      <c r="F82" s="41">
        <v>0.26</v>
      </c>
      <c r="G82" s="41">
        <v>0.26</v>
      </c>
      <c r="H82" s="41">
        <v>0.1</v>
      </c>
      <c r="I82" s="41">
        <v>0.32</v>
      </c>
      <c r="J82" s="41">
        <v>0.06</v>
      </c>
      <c r="K82" s="42">
        <f>SUM(E82:J82)</f>
        <v>1.0000100000000001</v>
      </c>
      <c r="L82" s="118">
        <v>400</v>
      </c>
      <c r="M82" s="4">
        <f t="shared" si="15"/>
        <v>60000</v>
      </c>
      <c r="N82" s="151">
        <f t="shared" si="14"/>
        <v>36.363636363636367</v>
      </c>
    </row>
    <row r="83" spans="1:23" x14ac:dyDescent="0.25">
      <c r="A83" s="35" t="s">
        <v>253</v>
      </c>
      <c r="B83" s="38">
        <v>1</v>
      </c>
      <c r="C83" s="154">
        <v>0.1</v>
      </c>
      <c r="D83" s="39">
        <f t="shared" si="13"/>
        <v>110</v>
      </c>
      <c r="E83" s="40">
        <v>1.0000000000000001E-5</v>
      </c>
      <c r="F83" s="41">
        <v>0.26</v>
      </c>
      <c r="G83" s="41">
        <v>0.26</v>
      </c>
      <c r="H83" s="41">
        <v>0.1</v>
      </c>
      <c r="I83" s="41">
        <v>0.32</v>
      </c>
      <c r="J83" s="41">
        <v>0.06</v>
      </c>
      <c r="K83" s="42">
        <f>SUM(E83:J83)</f>
        <v>1.0000100000000001</v>
      </c>
      <c r="L83" s="118">
        <v>160</v>
      </c>
      <c r="M83" s="4">
        <f t="shared" si="15"/>
        <v>24000</v>
      </c>
      <c r="N83" s="151">
        <f>L83/$D$76*100</f>
        <v>14.545454545454545</v>
      </c>
    </row>
    <row r="84" spans="1:23" x14ac:dyDescent="0.25">
      <c r="A84" s="35" t="s">
        <v>160</v>
      </c>
      <c r="B84" s="38" t="s">
        <v>161</v>
      </c>
      <c r="C84" s="150"/>
      <c r="D84" s="39">
        <f t="shared" si="13"/>
        <v>0</v>
      </c>
      <c r="E84" s="40">
        <v>1.0000000000000001E-5</v>
      </c>
      <c r="F84" s="41">
        <v>1.0000000000000001E-5</v>
      </c>
      <c r="G84" s="41">
        <v>1.0000000000000001E-5</v>
      </c>
      <c r="H84" s="41">
        <v>1.0000000000000001E-5</v>
      </c>
      <c r="I84" s="41">
        <v>1.0000000000000001E-5</v>
      </c>
      <c r="J84" s="41">
        <v>1.0000000000000001E-5</v>
      </c>
      <c r="K84" s="42"/>
      <c r="L84" s="118"/>
      <c r="M84" s="5"/>
    </row>
    <row r="85" spans="1:23" x14ac:dyDescent="0.25">
      <c r="A85" s="35" t="s">
        <v>162</v>
      </c>
      <c r="B85" s="38" t="s">
        <v>161</v>
      </c>
      <c r="C85" s="43"/>
      <c r="D85" s="39"/>
      <c r="E85" s="40">
        <v>1.0000000000000001E-5</v>
      </c>
      <c r="F85" s="41">
        <v>1.0000000000000001E-5</v>
      </c>
      <c r="G85" s="41">
        <v>1.0000000000000001E-5</v>
      </c>
      <c r="H85" s="41">
        <v>1.0000000000000001E-5</v>
      </c>
      <c r="I85" s="41">
        <v>1.0000000000000001E-5</v>
      </c>
      <c r="J85" s="41">
        <v>1.0000000000000001E-5</v>
      </c>
      <c r="K85" s="42"/>
      <c r="L85" s="118"/>
    </row>
    <row r="86" spans="1:23" ht="15.75" x14ac:dyDescent="0.25">
      <c r="A86" s="44" t="s">
        <v>293</v>
      </c>
      <c r="B86" s="45">
        <f>SUM(B77:B85)</f>
        <v>10</v>
      </c>
      <c r="C86" s="153">
        <f>SUM(C77:C85)</f>
        <v>1</v>
      </c>
      <c r="D86" s="47">
        <f>SUM(D77:D85)</f>
        <v>1100</v>
      </c>
      <c r="E86" s="46">
        <f>SUMPRODUCT(E77:E82, $C$77:$C$82)</f>
        <v>9.0000000000000002E-6</v>
      </c>
      <c r="F86" s="46">
        <f>SUMPRODUCT(F77:F83, $C$77:$C$83)</f>
        <v>0.27360000000000001</v>
      </c>
      <c r="G86" s="46">
        <f>SUMPRODUCT(G77:G83, $C$77:$C$83)</f>
        <v>0.27360000000000001</v>
      </c>
      <c r="H86" s="46">
        <f>SUMPRODUCT(H77:H83, $C$77:$C$83)</f>
        <v>0.25190000000000001</v>
      </c>
      <c r="I86" s="46">
        <f>SUMPRODUCT(I77:I83, $C$77:$C$83)</f>
        <v>0.15359999999999999</v>
      </c>
      <c r="J86" s="46">
        <f>SUMPRODUCT(J77:J83, $C$77:$C$83)</f>
        <v>4.7299999999999995E-2</v>
      </c>
      <c r="K86" s="42">
        <f>SUM(E86:J86)</f>
        <v>1.0000089999999999</v>
      </c>
      <c r="L86" s="118"/>
      <c r="M86" s="57"/>
      <c r="N86" s="156" t="s">
        <v>166</v>
      </c>
      <c r="O86" s="157"/>
      <c r="P86" s="157"/>
      <c r="Q86" s="157"/>
      <c r="R86" s="157"/>
      <c r="S86" s="157"/>
      <c r="T86" s="58" t="s">
        <v>167</v>
      </c>
      <c r="U86" s="58" t="s">
        <v>168</v>
      </c>
      <c r="V86" s="58" t="s">
        <v>169</v>
      </c>
      <c r="W86" s="58" t="s">
        <v>170</v>
      </c>
    </row>
    <row r="87" spans="1:23" x14ac:dyDescent="0.25">
      <c r="M87" s="44"/>
      <c r="N87" s="44"/>
      <c r="O87" s="44"/>
      <c r="P87" s="44"/>
      <c r="Q87" s="44"/>
      <c r="R87" s="44"/>
      <c r="S87" s="44"/>
      <c r="T87" s="59">
        <v>-0.35</v>
      </c>
      <c r="U87" s="60"/>
      <c r="V87" s="52"/>
      <c r="W87" s="52"/>
    </row>
    <row r="88" spans="1:23" ht="26.25" x14ac:dyDescent="0.25">
      <c r="A88" s="21" t="s">
        <v>163</v>
      </c>
      <c r="B88" s="48"/>
      <c r="C88" s="48"/>
      <c r="D88" s="48"/>
      <c r="E88" s="25" t="s">
        <v>150</v>
      </c>
      <c r="F88" s="25" t="s">
        <v>151</v>
      </c>
      <c r="G88" s="25" t="s">
        <v>151</v>
      </c>
      <c r="H88" s="25" t="s">
        <v>152</v>
      </c>
      <c r="I88" s="25" t="s">
        <v>153</v>
      </c>
      <c r="J88" s="49" t="s">
        <v>154</v>
      </c>
      <c r="K88" s="119" t="s">
        <v>35</v>
      </c>
      <c r="L88" s="25" t="s">
        <v>247</v>
      </c>
      <c r="M88" s="44"/>
      <c r="N88" s="61" t="s">
        <v>150</v>
      </c>
      <c r="O88" s="62" t="s">
        <v>151</v>
      </c>
      <c r="P88" s="62" t="s">
        <v>151</v>
      </c>
      <c r="Q88" s="62" t="s">
        <v>152</v>
      </c>
      <c r="R88" s="62" t="s">
        <v>153</v>
      </c>
      <c r="S88" s="63" t="s">
        <v>154</v>
      </c>
      <c r="T88" s="64" t="s">
        <v>171</v>
      </c>
      <c r="U88" s="65" t="s">
        <v>172</v>
      </c>
      <c r="V88" s="66" t="s">
        <v>173</v>
      </c>
      <c r="W88" s="66" t="s">
        <v>174</v>
      </c>
    </row>
    <row r="89" spans="1:23" s="134" customFormat="1" ht="17.25" customHeight="1" x14ac:dyDescent="0.25">
      <c r="A89" s="126" t="s">
        <v>158</v>
      </c>
      <c r="E89" s="135">
        <f>ROUND($E$84*E76,0)</f>
        <v>0</v>
      </c>
      <c r="F89" s="135">
        <f>ROUNDUP((D77*F77),0)</f>
        <v>0</v>
      </c>
      <c r="G89" s="135">
        <f>ROUNDUP((D77*G77),0)</f>
        <v>0</v>
      </c>
      <c r="H89" s="135">
        <f>ROUNDUP((D77*H77),0)</f>
        <v>0</v>
      </c>
      <c r="I89" s="135">
        <f>ROUNDUP((D77*I77),0)</f>
        <v>0</v>
      </c>
      <c r="J89" s="135">
        <f>ROUNDUP((D77*J77),0)</f>
        <v>0</v>
      </c>
      <c r="K89" s="136">
        <f>SUM(E89:J89)</f>
        <v>0</v>
      </c>
      <c r="L89" s="135">
        <f>K89/40</f>
        <v>0</v>
      </c>
      <c r="N89" s="137">
        <f>E89*$F$65*(1+$T$87)</f>
        <v>0</v>
      </c>
      <c r="O89" s="137">
        <f>F89*$F$65*(1+$T$87)</f>
        <v>0</v>
      </c>
      <c r="P89" s="137">
        <f>G89*$G$65*(1+$T$87)</f>
        <v>0</v>
      </c>
      <c r="Q89" s="137">
        <f>H89*$H$65*(1+$T$87)</f>
        <v>0</v>
      </c>
      <c r="R89" s="137">
        <f>I89*$I$65*(1+$T$87)</f>
        <v>0</v>
      </c>
      <c r="S89" s="137">
        <f>J89*$J$65*(1+$T$87)</f>
        <v>0</v>
      </c>
      <c r="T89" s="138">
        <f t="shared" ref="T89:T97" si="17">SUM(N89:S89)</f>
        <v>0</v>
      </c>
      <c r="U89" s="139">
        <f t="shared" ref="U89:U97" si="18">(E89*$E$65)+(F89*$F$65)+(G89*$G$65)+(H89*$H$65)+(I89*$I$65)+(J89*$J$65)</f>
        <v>0</v>
      </c>
      <c r="V89" s="139">
        <f>(E89*$Q$65)+(F89*$R$65)+(G89*$S$65)+(H89*$T$65)+(I89*$U$65)+(J89*$V$65)</f>
        <v>0</v>
      </c>
      <c r="W89" s="140">
        <f>V89*(1+$T$87)</f>
        <v>0</v>
      </c>
    </row>
    <row r="90" spans="1:23" x14ac:dyDescent="0.25">
      <c r="A90" s="35" t="s">
        <v>159</v>
      </c>
      <c r="B90" s="44"/>
      <c r="C90" s="44"/>
      <c r="D90" s="44"/>
      <c r="E90" s="50">
        <f>ROUND($E$85*E77,0)</f>
        <v>0</v>
      </c>
      <c r="F90" s="50">
        <f>ROUNDUP((D78*F78),0)</f>
        <v>25</v>
      </c>
      <c r="G90" s="50">
        <f>ROUNDUP((D78*G78),0)</f>
        <v>25</v>
      </c>
      <c r="H90" s="50">
        <f t="shared" ref="H90:H97" si="19">ROUNDUP((D78*H78),0)</f>
        <v>7</v>
      </c>
      <c r="I90" s="50">
        <f t="shared" ref="I90:I97" si="20">ROUNDUP((D78*I78),0)</f>
        <v>2</v>
      </c>
      <c r="J90" s="50">
        <f t="shared" ref="J90:J97" si="21">ROUNDUP((D78*J78),0)</f>
        <v>10</v>
      </c>
      <c r="K90" s="120">
        <f>SUM(E90:J90)</f>
        <v>69</v>
      </c>
      <c r="L90" s="122">
        <f t="shared" ref="L90:L97" si="22">K90/40</f>
        <v>1.7250000000000001</v>
      </c>
      <c r="M90" s="4"/>
      <c r="N90" s="67">
        <f>E90*$F$65*(1+$T$87)</f>
        <v>0</v>
      </c>
      <c r="O90" s="67">
        <f>F90*$F$65*(1+$T$87)</f>
        <v>2441.9505772390021</v>
      </c>
      <c r="P90" s="67">
        <f t="shared" ref="P90:P97" si="23">G90*$G$65*(1+$T$87)</f>
        <v>2441.9505772390021</v>
      </c>
      <c r="Q90" s="67">
        <f t="shared" ref="Q90:Q97" si="24">H90*$H$65*(1+$T$87)</f>
        <v>711.43648865417799</v>
      </c>
      <c r="R90" s="67">
        <f t="shared" ref="R90:R97" si="25">I90*$I$65*(1+$T$87)</f>
        <v>203.26756818690799</v>
      </c>
      <c r="S90" s="67">
        <f t="shared" ref="S90:S97" si="26">J90*$J$65*(1+$T$87)</f>
        <v>1332.7987212460532</v>
      </c>
      <c r="T90" s="71">
        <f t="shared" si="17"/>
        <v>7131.4039325651429</v>
      </c>
      <c r="U90" s="68">
        <f t="shared" si="18"/>
        <v>10971.390665484834</v>
      </c>
      <c r="V90" s="68">
        <f t="shared" ref="V90:V97" si="27">(E90*$Q$65)+(F90*$R$65)+(G90*$S$65)+(H90*$T$65)+(I90*$U$65)+(J90*$V$65)</f>
        <v>14550.264781046777</v>
      </c>
      <c r="W90" s="70">
        <f t="shared" ref="W90:W97" si="28">V90*(1+$T$87)</f>
        <v>9457.672107680406</v>
      </c>
    </row>
    <row r="91" spans="1:23" x14ac:dyDescent="0.25">
      <c r="A91" s="35" t="s">
        <v>250</v>
      </c>
      <c r="B91" s="44"/>
      <c r="C91" s="44"/>
      <c r="D91" s="44"/>
      <c r="E91" s="50">
        <f>ROUND($E$86*E78,0)</f>
        <v>0</v>
      </c>
      <c r="F91" s="50">
        <f t="shared" ref="F91:F97" si="29">ROUNDUP((D79*F79),0)</f>
        <v>0</v>
      </c>
      <c r="G91" s="50">
        <f t="shared" ref="G91:G97" si="30">ROUNDUP((D79*G79),0)</f>
        <v>0</v>
      </c>
      <c r="H91" s="50">
        <f t="shared" si="19"/>
        <v>74</v>
      </c>
      <c r="I91" s="50">
        <f t="shared" si="20"/>
        <v>0</v>
      </c>
      <c r="J91" s="50">
        <f t="shared" si="21"/>
        <v>4</v>
      </c>
      <c r="K91" s="120">
        <f>SUM(E91:J91)</f>
        <v>78</v>
      </c>
      <c r="L91" s="122">
        <f t="shared" si="22"/>
        <v>1.95</v>
      </c>
      <c r="M91" s="4"/>
      <c r="N91" s="67">
        <f>E91*$F$65*(1+$T$87)</f>
        <v>0</v>
      </c>
      <c r="O91" s="67">
        <f t="shared" ref="O91:O97" si="31">F91*$F$65*(1+$T$87)</f>
        <v>0</v>
      </c>
      <c r="P91" s="67">
        <f t="shared" si="23"/>
        <v>0</v>
      </c>
      <c r="Q91" s="67">
        <f t="shared" si="24"/>
        <v>7520.9000229155963</v>
      </c>
      <c r="R91" s="67">
        <f t="shared" si="25"/>
        <v>0</v>
      </c>
      <c r="S91" s="67">
        <f t="shared" si="26"/>
        <v>533.11948849842133</v>
      </c>
      <c r="T91" s="71">
        <f t="shared" si="17"/>
        <v>8054.0195114140179</v>
      </c>
      <c r="U91" s="68">
        <f t="shared" si="18"/>
        <v>12390.799248329258</v>
      </c>
      <c r="V91" s="68">
        <f t="shared" si="27"/>
        <v>19590.295561008166</v>
      </c>
      <c r="W91" s="70">
        <f t="shared" si="28"/>
        <v>12733.692114655309</v>
      </c>
    </row>
    <row r="92" spans="1:23" x14ac:dyDescent="0.25">
      <c r="A92" s="35" t="s">
        <v>249</v>
      </c>
      <c r="B92" s="44"/>
      <c r="C92" s="44"/>
      <c r="D92" s="44"/>
      <c r="E92" s="50">
        <f t="shared" ref="E92:E95" si="32">ROUND($E$86*E79,0)</f>
        <v>0</v>
      </c>
      <c r="F92" s="50">
        <f t="shared" si="29"/>
        <v>124</v>
      </c>
      <c r="G92" s="50">
        <f t="shared" si="30"/>
        <v>124</v>
      </c>
      <c r="H92" s="50">
        <f t="shared" si="19"/>
        <v>124</v>
      </c>
      <c r="I92" s="50">
        <f t="shared" si="20"/>
        <v>8</v>
      </c>
      <c r="J92" s="50">
        <f t="shared" si="21"/>
        <v>8</v>
      </c>
      <c r="K92" s="120">
        <f t="shared" ref="K92:K93" si="33">SUM(E92:J92)</f>
        <v>388</v>
      </c>
      <c r="L92" s="122">
        <f t="shared" si="22"/>
        <v>9.6999999999999993</v>
      </c>
      <c r="M92" s="4"/>
      <c r="N92" s="67"/>
      <c r="O92" s="67">
        <f t="shared" si="31"/>
        <v>12112.074863105448</v>
      </c>
      <c r="P92" s="67">
        <f t="shared" si="23"/>
        <v>12112.074863105448</v>
      </c>
      <c r="Q92" s="67">
        <f t="shared" si="24"/>
        <v>12602.589227588298</v>
      </c>
      <c r="R92" s="67">
        <f t="shared" si="25"/>
        <v>813.07027274763198</v>
      </c>
      <c r="S92" s="67">
        <f t="shared" si="26"/>
        <v>1066.2389769968427</v>
      </c>
      <c r="T92" s="71">
        <f t="shared" si="17"/>
        <v>38706.048203543673</v>
      </c>
      <c r="U92" s="68">
        <f t="shared" si="18"/>
        <v>59547.766466990259</v>
      </c>
      <c r="V92" s="68">
        <f t="shared" si="27"/>
        <v>72891.561947938986</v>
      </c>
      <c r="W92" s="70">
        <f t="shared" si="28"/>
        <v>47379.515266160342</v>
      </c>
    </row>
    <row r="93" spans="1:23" x14ac:dyDescent="0.25">
      <c r="A93" s="35" t="s">
        <v>251</v>
      </c>
      <c r="B93" s="44"/>
      <c r="C93" s="44"/>
      <c r="D93" s="44"/>
      <c r="E93" s="50">
        <f t="shared" si="32"/>
        <v>0</v>
      </c>
      <c r="F93" s="50">
        <f t="shared" si="29"/>
        <v>25</v>
      </c>
      <c r="G93" s="50">
        <f t="shared" si="30"/>
        <v>25</v>
      </c>
      <c r="H93" s="50">
        <f t="shared" si="19"/>
        <v>25</v>
      </c>
      <c r="I93" s="50">
        <f t="shared" si="20"/>
        <v>2</v>
      </c>
      <c r="J93" s="50">
        <f t="shared" si="21"/>
        <v>2</v>
      </c>
      <c r="K93" s="120">
        <f t="shared" si="33"/>
        <v>79</v>
      </c>
      <c r="L93" s="122">
        <f t="shared" si="22"/>
        <v>1.9750000000000001</v>
      </c>
      <c r="M93" s="4"/>
      <c r="N93" s="67"/>
      <c r="O93" s="67">
        <f t="shared" si="31"/>
        <v>2441.9505772390021</v>
      </c>
      <c r="P93" s="67">
        <f t="shared" si="23"/>
        <v>2441.9505772390021</v>
      </c>
      <c r="Q93" s="67">
        <f t="shared" si="24"/>
        <v>2540.8446023363504</v>
      </c>
      <c r="R93" s="67">
        <f t="shared" si="25"/>
        <v>203.26756818690799</v>
      </c>
      <c r="S93" s="67">
        <f t="shared" si="26"/>
        <v>266.55974424921067</v>
      </c>
      <c r="T93" s="71">
        <f t="shared" si="17"/>
        <v>7894.5730692504731</v>
      </c>
      <c r="U93" s="68">
        <f t="shared" si="18"/>
        <v>12145.497029616112</v>
      </c>
      <c r="V93" s="68">
        <f t="shared" si="27"/>
        <v>14975.465679381097</v>
      </c>
      <c r="W93" s="70">
        <f t="shared" si="28"/>
        <v>9734.0526915977134</v>
      </c>
    </row>
    <row r="94" spans="1:23" x14ac:dyDescent="0.25">
      <c r="A94" s="35" t="s">
        <v>252</v>
      </c>
      <c r="B94" s="44"/>
      <c r="C94" s="44"/>
      <c r="D94" s="44"/>
      <c r="E94" s="50">
        <f t="shared" si="32"/>
        <v>0</v>
      </c>
      <c r="F94" s="50">
        <f t="shared" si="29"/>
        <v>101</v>
      </c>
      <c r="G94" s="50">
        <f t="shared" si="30"/>
        <v>101</v>
      </c>
      <c r="H94" s="50">
        <f t="shared" si="19"/>
        <v>39</v>
      </c>
      <c r="I94" s="50">
        <f t="shared" si="20"/>
        <v>124</v>
      </c>
      <c r="J94" s="50">
        <f t="shared" si="21"/>
        <v>24</v>
      </c>
      <c r="K94" s="120">
        <f>SUM(E94:J94)</f>
        <v>389</v>
      </c>
      <c r="L94" s="122">
        <f>K94/40</f>
        <v>9.7249999999999996</v>
      </c>
      <c r="M94" s="4"/>
      <c r="N94" s="67">
        <f>E94*$F$65*(1+$T$87)</f>
        <v>0</v>
      </c>
      <c r="O94" s="67">
        <f t="shared" si="31"/>
        <v>9865.4803320455685</v>
      </c>
      <c r="P94" s="67">
        <f t="shared" si="23"/>
        <v>9865.4803320455685</v>
      </c>
      <c r="Q94" s="67">
        <f t="shared" si="24"/>
        <v>3963.7175796447063</v>
      </c>
      <c r="R94" s="67">
        <f t="shared" si="25"/>
        <v>12602.589227588298</v>
      </c>
      <c r="S94" s="67">
        <f t="shared" si="26"/>
        <v>3198.716930990528</v>
      </c>
      <c r="T94" s="71">
        <f t="shared" si="17"/>
        <v>39495.984402314672</v>
      </c>
      <c r="U94" s="68">
        <f t="shared" si="18"/>
        <v>60763.052926637945</v>
      </c>
      <c r="V94" s="68">
        <f t="shared" si="27"/>
        <v>81065.718158859323</v>
      </c>
      <c r="W94" s="70">
        <f t="shared" si="28"/>
        <v>52692.716803258561</v>
      </c>
    </row>
    <row r="95" spans="1:23" x14ac:dyDescent="0.25">
      <c r="A95" s="35" t="s">
        <v>253</v>
      </c>
      <c r="B95" s="44"/>
      <c r="C95" s="44"/>
      <c r="D95" s="44"/>
      <c r="E95" s="50">
        <f t="shared" si="32"/>
        <v>0</v>
      </c>
      <c r="F95" s="50">
        <f t="shared" si="29"/>
        <v>29</v>
      </c>
      <c r="G95" s="50">
        <f t="shared" si="30"/>
        <v>29</v>
      </c>
      <c r="H95" s="50">
        <f t="shared" si="19"/>
        <v>11</v>
      </c>
      <c r="I95" s="50">
        <f t="shared" si="20"/>
        <v>36</v>
      </c>
      <c r="J95" s="50">
        <f t="shared" si="21"/>
        <v>7</v>
      </c>
      <c r="K95" s="120">
        <f>SUM(E95:J95)</f>
        <v>112</v>
      </c>
      <c r="L95" s="122">
        <f>K95/40</f>
        <v>2.8</v>
      </c>
      <c r="M95" s="4"/>
      <c r="N95" s="67"/>
      <c r="O95" s="67">
        <f t="shared" si="31"/>
        <v>2832.6626695972423</v>
      </c>
      <c r="P95" s="67">
        <f t="shared" si="23"/>
        <v>2832.6626695972423</v>
      </c>
      <c r="Q95" s="67">
        <f t="shared" si="24"/>
        <v>1117.9716250279939</v>
      </c>
      <c r="R95" s="67">
        <f t="shared" si="25"/>
        <v>3658.8162273643443</v>
      </c>
      <c r="S95" s="67">
        <f t="shared" si="26"/>
        <v>932.95910487223739</v>
      </c>
      <c r="T95" s="71">
        <f t="shared" si="17"/>
        <v>11375.07229645906</v>
      </c>
      <c r="U95" s="68">
        <f t="shared" si="18"/>
        <v>17500.111225321631</v>
      </c>
      <c r="V95" s="68">
        <f t="shared" si="27"/>
        <v>23376.218197817889</v>
      </c>
      <c r="W95" s="70">
        <f t="shared" si="28"/>
        <v>15194.541828581629</v>
      </c>
    </row>
    <row r="96" spans="1:23" x14ac:dyDescent="0.25">
      <c r="A96" s="35" t="s">
        <v>164</v>
      </c>
      <c r="B96" s="44"/>
      <c r="C96" s="44"/>
      <c r="D96" s="44"/>
      <c r="E96" s="50">
        <f>ROUNDUP(($D$84*E84),0)</f>
        <v>0</v>
      </c>
      <c r="F96" s="50">
        <f t="shared" si="29"/>
        <v>0</v>
      </c>
      <c r="G96" s="50">
        <f t="shared" si="30"/>
        <v>0</v>
      </c>
      <c r="H96" s="50">
        <f t="shared" si="19"/>
        <v>0</v>
      </c>
      <c r="I96" s="50">
        <f t="shared" si="20"/>
        <v>0</v>
      </c>
      <c r="J96" s="50">
        <f t="shared" si="21"/>
        <v>0</v>
      </c>
      <c r="K96" s="121">
        <v>0</v>
      </c>
      <c r="L96" s="122">
        <f t="shared" si="22"/>
        <v>0</v>
      </c>
      <c r="M96" s="44"/>
      <c r="N96" s="67">
        <f>E96*$F$65*(1+$T$87)</f>
        <v>0</v>
      </c>
      <c r="O96" s="67">
        <f t="shared" si="31"/>
        <v>0</v>
      </c>
      <c r="P96" s="67">
        <f t="shared" si="23"/>
        <v>0</v>
      </c>
      <c r="Q96" s="67">
        <f t="shared" si="24"/>
        <v>0</v>
      </c>
      <c r="R96" s="67">
        <f t="shared" si="25"/>
        <v>0</v>
      </c>
      <c r="S96" s="67">
        <f t="shared" si="26"/>
        <v>0</v>
      </c>
      <c r="T96" s="71">
        <f t="shared" si="17"/>
        <v>0</v>
      </c>
      <c r="U96" s="68">
        <f t="shared" si="18"/>
        <v>0</v>
      </c>
      <c r="V96" s="68">
        <f t="shared" si="27"/>
        <v>0</v>
      </c>
      <c r="W96" s="70">
        <f t="shared" si="28"/>
        <v>0</v>
      </c>
    </row>
    <row r="97" spans="1:23" x14ac:dyDescent="0.25">
      <c r="A97" s="35" t="s">
        <v>165</v>
      </c>
      <c r="B97" s="44"/>
      <c r="C97" s="44"/>
      <c r="D97" s="44"/>
      <c r="E97" s="51">
        <f>ROUND($E$89*E84,0)</f>
        <v>0</v>
      </c>
      <c r="F97" s="50">
        <f t="shared" si="29"/>
        <v>0</v>
      </c>
      <c r="G97" s="50">
        <f t="shared" si="30"/>
        <v>0</v>
      </c>
      <c r="H97" s="50">
        <f t="shared" si="19"/>
        <v>0</v>
      </c>
      <c r="I97" s="50">
        <f t="shared" si="20"/>
        <v>0</v>
      </c>
      <c r="J97" s="50">
        <f t="shared" si="21"/>
        <v>0</v>
      </c>
      <c r="K97" s="120">
        <v>0</v>
      </c>
      <c r="L97" s="122">
        <f t="shared" si="22"/>
        <v>0</v>
      </c>
      <c r="M97" s="44"/>
      <c r="N97" s="67">
        <f>E97*$F$65*(1+$T$87)</f>
        <v>0</v>
      </c>
      <c r="O97" s="67">
        <f t="shared" si="31"/>
        <v>0</v>
      </c>
      <c r="P97" s="67">
        <f t="shared" si="23"/>
        <v>0</v>
      </c>
      <c r="Q97" s="67">
        <f t="shared" si="24"/>
        <v>0</v>
      </c>
      <c r="R97" s="67">
        <f t="shared" si="25"/>
        <v>0</v>
      </c>
      <c r="S97" s="67">
        <f t="shared" si="26"/>
        <v>0</v>
      </c>
      <c r="T97" s="71">
        <f t="shared" si="17"/>
        <v>0</v>
      </c>
      <c r="U97" s="68">
        <f t="shared" si="18"/>
        <v>0</v>
      </c>
      <c r="V97" s="68">
        <f t="shared" si="27"/>
        <v>0</v>
      </c>
      <c r="W97" s="70">
        <f t="shared" si="28"/>
        <v>0</v>
      </c>
    </row>
    <row r="98" spans="1:23" ht="15.75" x14ac:dyDescent="0.25">
      <c r="A98" s="44"/>
      <c r="B98" s="44"/>
      <c r="C98" s="44"/>
      <c r="D98" s="52" t="s">
        <v>35</v>
      </c>
      <c r="E98" s="53">
        <f t="shared" ref="E98:J98" si="34">ROUND(SUM(E89:E97),0)</f>
        <v>0</v>
      </c>
      <c r="F98" s="53">
        <f t="shared" si="34"/>
        <v>304</v>
      </c>
      <c r="G98" s="53">
        <f t="shared" si="34"/>
        <v>304</v>
      </c>
      <c r="H98" s="53">
        <f t="shared" si="34"/>
        <v>280</v>
      </c>
      <c r="I98" s="53">
        <f t="shared" si="34"/>
        <v>172</v>
      </c>
      <c r="J98" s="54">
        <f t="shared" si="34"/>
        <v>55</v>
      </c>
      <c r="K98" s="55">
        <f>SUM(K89:K97)</f>
        <v>1115</v>
      </c>
      <c r="L98" s="123">
        <f>SUM(L89:L97)</f>
        <v>27.875</v>
      </c>
      <c r="M98" s="74" t="s">
        <v>175</v>
      </c>
      <c r="N98" s="71">
        <f t="shared" ref="N98:W98" si="35">SUM(N89:N97)</f>
        <v>0</v>
      </c>
      <c r="O98" s="71">
        <f t="shared" si="35"/>
        <v>29694.119019226262</v>
      </c>
      <c r="P98" s="71">
        <f t="shared" si="35"/>
        <v>29694.119019226262</v>
      </c>
      <c r="Q98" s="71">
        <f t="shared" si="35"/>
        <v>28457.459546167123</v>
      </c>
      <c r="R98" s="71">
        <f t="shared" si="35"/>
        <v>17481.010864074091</v>
      </c>
      <c r="S98" s="71">
        <f t="shared" si="35"/>
        <v>7330.3929668532937</v>
      </c>
      <c r="T98" s="108">
        <f t="shared" si="35"/>
        <v>112657.10141554705</v>
      </c>
      <c r="U98" s="75">
        <f t="shared" si="35"/>
        <v>173318.61756238007</v>
      </c>
      <c r="V98" s="75">
        <f t="shared" si="35"/>
        <v>226449.52432605225</v>
      </c>
      <c r="W98" s="75">
        <f t="shared" si="35"/>
        <v>147192.19081193395</v>
      </c>
    </row>
    <row r="99" spans="1:23" x14ac:dyDescent="0.25">
      <c r="D99" t="s">
        <v>248</v>
      </c>
      <c r="F99" s="124">
        <f>F98/$D$66</f>
        <v>0.14615384615384616</v>
      </c>
      <c r="G99" s="124">
        <f t="shared" ref="G99:J99" si="36">G98/$D$66</f>
        <v>0.14615384615384616</v>
      </c>
      <c r="H99" s="124">
        <f t="shared" si="36"/>
        <v>0.13461538461538461</v>
      </c>
      <c r="I99" s="124">
        <f t="shared" si="36"/>
        <v>8.269230769230769E-2</v>
      </c>
      <c r="J99" s="124">
        <f t="shared" si="36"/>
        <v>2.6442307692307692E-2</v>
      </c>
      <c r="K99" s="125">
        <f>K98-D86</f>
        <v>15</v>
      </c>
      <c r="M99" s="52" t="s">
        <v>176</v>
      </c>
      <c r="N99" s="69"/>
      <c r="O99" s="69">
        <f>F98*F66</f>
        <v>10861.88346153846</v>
      </c>
      <c r="P99" s="69">
        <f>G98*G66</f>
        <v>10861.88346153846</v>
      </c>
      <c r="Q99" s="69">
        <f>H98*H66</f>
        <v>10004.366346153845</v>
      </c>
      <c r="R99" s="69">
        <f>I98*I66</f>
        <v>6145.5393269230763</v>
      </c>
      <c r="S99" s="69">
        <f>J98*J66</f>
        <v>1965.1433894230768</v>
      </c>
      <c r="T99" s="70">
        <f>SUM(O99:S99)</f>
        <v>39838.815985576919</v>
      </c>
      <c r="U99" s="69">
        <f>T99</f>
        <v>39838.815985576919</v>
      </c>
      <c r="V99" s="69">
        <f>($E$98*Q66)+($F$98*R66)+($G$98*S66)+($H$98*T66)+($I$98*U66)+($J$98*V66)</f>
        <v>54626.570673076916</v>
      </c>
      <c r="W99" s="69">
        <f>V99</f>
        <v>54626.570673076916</v>
      </c>
    </row>
    <row r="100" spans="1:23" x14ac:dyDescent="0.25">
      <c r="F100" s="109"/>
      <c r="G100" s="109"/>
      <c r="H100" s="109"/>
      <c r="I100" s="109"/>
      <c r="J100" s="109"/>
      <c r="M100" s="52" t="s">
        <v>177</v>
      </c>
      <c r="N100" s="72"/>
      <c r="O100" s="72">
        <f>F98*F67</f>
        <v>11979.746553250974</v>
      </c>
      <c r="P100" s="72">
        <f>G98*G67</f>
        <v>11979.746553250974</v>
      </c>
      <c r="Q100" s="72">
        <f>H98*H67</f>
        <v>11885.987150897785</v>
      </c>
      <c r="R100" s="72">
        <f>I98*I67</f>
        <v>7301.3921069800681</v>
      </c>
      <c r="S100" s="72">
        <f>J98*J67</f>
        <v>3673.6204312333025</v>
      </c>
      <c r="T100" s="73">
        <f>SUM(O100:S100)</f>
        <v>46820.4927956131</v>
      </c>
      <c r="U100" s="72">
        <f>T100</f>
        <v>46820.4927956131</v>
      </c>
      <c r="V100" s="72">
        <f>($E$98*Q67)+($F$98*R67)+($G$98*S67)+($H$98*T67)+($I$98*U67)+($J$98*V67)</f>
        <v>58598.191489949204</v>
      </c>
      <c r="W100" s="72">
        <f>V100</f>
        <v>58598.191489949204</v>
      </c>
    </row>
    <row r="101" spans="1:23" x14ac:dyDescent="0.25">
      <c r="A101" s="8"/>
      <c r="B101" s="4"/>
      <c r="M101" s="104" t="s">
        <v>211</v>
      </c>
      <c r="N101" s="105">
        <f>N99+N100</f>
        <v>0</v>
      </c>
      <c r="O101" s="105">
        <f t="shared" ref="O101:W101" si="37">O99+O100</f>
        <v>22841.630014789436</v>
      </c>
      <c r="P101" s="105">
        <f t="shared" si="37"/>
        <v>22841.630014789436</v>
      </c>
      <c r="Q101" s="105">
        <f t="shared" si="37"/>
        <v>21890.35349705163</v>
      </c>
      <c r="R101" s="105">
        <f t="shared" si="37"/>
        <v>13446.931433903144</v>
      </c>
      <c r="S101" s="105">
        <f t="shared" si="37"/>
        <v>5638.7638206563788</v>
      </c>
      <c r="T101" s="105">
        <f t="shared" si="37"/>
        <v>86659.308781190019</v>
      </c>
      <c r="U101" s="105">
        <f t="shared" si="37"/>
        <v>86659.308781190019</v>
      </c>
      <c r="V101" s="105">
        <f t="shared" si="37"/>
        <v>113224.76216302611</v>
      </c>
      <c r="W101" s="105">
        <f t="shared" si="37"/>
        <v>113224.76216302611</v>
      </c>
    </row>
    <row r="102" spans="1:23" x14ac:dyDescent="0.25">
      <c r="M102" s="74" t="s">
        <v>178</v>
      </c>
      <c r="N102" s="76">
        <f t="shared" ref="N102:W102" si="38">N98-N99-N100</f>
        <v>0</v>
      </c>
      <c r="O102" s="76">
        <f t="shared" si="38"/>
        <v>6852.4890044368294</v>
      </c>
      <c r="P102" s="76">
        <f t="shared" si="38"/>
        <v>6852.4890044368294</v>
      </c>
      <c r="Q102" s="76">
        <f t="shared" si="38"/>
        <v>6567.1060491154931</v>
      </c>
      <c r="R102" s="76">
        <f t="shared" si="38"/>
        <v>4034.0794301709457</v>
      </c>
      <c r="S102" s="76">
        <f t="shared" si="38"/>
        <v>1691.6291461969145</v>
      </c>
      <c r="T102" s="76">
        <f t="shared" si="38"/>
        <v>25997.792634357029</v>
      </c>
      <c r="U102" s="76">
        <f t="shared" si="38"/>
        <v>86659.308781190048</v>
      </c>
      <c r="V102" s="56">
        <f t="shared" si="38"/>
        <v>113224.76216302611</v>
      </c>
      <c r="W102" s="76">
        <f t="shared" si="38"/>
        <v>33967.428648907829</v>
      </c>
    </row>
    <row r="103" spans="1:23" x14ac:dyDescent="0.25">
      <c r="M103" s="52" t="s">
        <v>179</v>
      </c>
      <c r="N103" s="57">
        <v>0</v>
      </c>
      <c r="O103" s="57">
        <f t="shared" ref="O103:W103" si="39">O102/O98</f>
        <v>0.23076923076923075</v>
      </c>
      <c r="P103" s="57">
        <f t="shared" si="39"/>
        <v>0.23076923076923075</v>
      </c>
      <c r="Q103" s="57">
        <f t="shared" si="39"/>
        <v>0.23076923076923087</v>
      </c>
      <c r="R103" s="57">
        <f t="shared" si="39"/>
        <v>0.23076923076923087</v>
      </c>
      <c r="S103" s="57">
        <f t="shared" si="39"/>
        <v>0.23076923076923084</v>
      </c>
      <c r="T103" s="57">
        <f t="shared" si="39"/>
        <v>0.23076923076923092</v>
      </c>
      <c r="U103" s="57">
        <f t="shared" si="39"/>
        <v>0.50000000000000011</v>
      </c>
      <c r="V103" s="57">
        <f t="shared" si="39"/>
        <v>0.49999999999999994</v>
      </c>
      <c r="W103" s="57">
        <f t="shared" si="39"/>
        <v>0.23076923076923073</v>
      </c>
    </row>
    <row r="104" spans="1:23" x14ac:dyDescent="0.25">
      <c r="M104" s="74" t="s">
        <v>180</v>
      </c>
      <c r="N104" s="77">
        <f>B7</f>
        <v>780000</v>
      </c>
      <c r="O104" s="69"/>
      <c r="P104" s="69"/>
      <c r="Q104" s="69"/>
      <c r="R104" s="69"/>
      <c r="S104" s="69"/>
      <c r="T104" s="103">
        <f>T98/$N$104</f>
        <v>0.1444321813019834</v>
      </c>
      <c r="U104" s="103">
        <f>U98/$N$104</f>
        <v>0.22220335584920523</v>
      </c>
      <c r="V104" s="103">
        <f>V98/$N$104</f>
        <v>0.29031990298211829</v>
      </c>
      <c r="W104" s="103">
        <f>W98/$N$104</f>
        <v>0.18870793693837687</v>
      </c>
    </row>
    <row r="106" spans="1:23" x14ac:dyDescent="0.25">
      <c r="A106" t="s">
        <v>117</v>
      </c>
      <c r="B106" s="6">
        <v>0</v>
      </c>
    </row>
    <row r="107" spans="1:23" x14ac:dyDescent="0.25">
      <c r="A107" t="s">
        <v>118</v>
      </c>
      <c r="B107" s="6">
        <v>0</v>
      </c>
    </row>
    <row r="108" spans="1:23" x14ac:dyDescent="0.25">
      <c r="A108" s="9" t="s">
        <v>121</v>
      </c>
      <c r="B108" s="10">
        <f>B57*B58</f>
        <v>1827324.5577968964</v>
      </c>
    </row>
    <row r="110" spans="1:23" x14ac:dyDescent="0.25">
      <c r="E110" s="9" t="s">
        <v>260</v>
      </c>
      <c r="F110" s="9" t="s">
        <v>259</v>
      </c>
    </row>
    <row r="111" spans="1:23" x14ac:dyDescent="0.25">
      <c r="D111" t="s">
        <v>264</v>
      </c>
      <c r="F111">
        <v>10</v>
      </c>
      <c r="G111" t="s">
        <v>265</v>
      </c>
    </row>
    <row r="112" spans="1:23" x14ac:dyDescent="0.25">
      <c r="D112" t="s">
        <v>267</v>
      </c>
      <c r="F112">
        <v>1100</v>
      </c>
      <c r="G112" t="s">
        <v>266</v>
      </c>
    </row>
    <row r="113" spans="4:6" x14ac:dyDescent="0.25">
      <c r="D113" t="s">
        <v>268</v>
      </c>
      <c r="E113" s="13">
        <f>K66</f>
        <v>35.729879807692306</v>
      </c>
      <c r="F113" s="109">
        <f>K66*F112</f>
        <v>39302.867788461539</v>
      </c>
    </row>
    <row r="114" spans="4:6" x14ac:dyDescent="0.25">
      <c r="D114" t="s">
        <v>269</v>
      </c>
      <c r="E114" s="4">
        <f>K67</f>
        <v>46.101425806251314</v>
      </c>
      <c r="F114" s="109">
        <f>K67*F112</f>
        <v>50711.568386876446</v>
      </c>
    </row>
    <row r="115" spans="4:6" x14ac:dyDescent="0.25">
      <c r="D115" t="s">
        <v>270</v>
      </c>
      <c r="E115" s="4">
        <f>K68</f>
        <v>81.831305613943613</v>
      </c>
      <c r="F115" s="5">
        <f>F116-F113-F114</f>
        <v>90014.436175337978</v>
      </c>
    </row>
    <row r="116" spans="4:6" x14ac:dyDescent="0.25">
      <c r="D116" s="9" t="s">
        <v>271</v>
      </c>
      <c r="E116" s="13">
        <f>K65</f>
        <v>163.66261122788723</v>
      </c>
      <c r="F116" s="13">
        <f>D76*K65</f>
        <v>180028.87235067596</v>
      </c>
    </row>
    <row r="118" spans="4:6" x14ac:dyDescent="0.25">
      <c r="D118" t="s">
        <v>261</v>
      </c>
      <c r="E118" s="7">
        <v>0.3</v>
      </c>
      <c r="F118" s="5">
        <f>F116*E118</f>
        <v>54008.661705202787</v>
      </c>
    </row>
    <row r="119" spans="4:6" x14ac:dyDescent="0.25">
      <c r="D119" t="s">
        <v>262</v>
      </c>
      <c r="F119" s="5">
        <f>F115-F118</f>
        <v>36005.774470135191</v>
      </c>
    </row>
    <row r="120" spans="4:6" x14ac:dyDescent="0.25">
      <c r="D120" s="9" t="s">
        <v>263</v>
      </c>
      <c r="E120" s="9"/>
      <c r="F120" s="10">
        <f>F116-F118</f>
        <v>126020.21064547317</v>
      </c>
    </row>
  </sheetData>
  <mergeCells count="6">
    <mergeCell ref="N86:S86"/>
    <mergeCell ref="E63:K63"/>
    <mergeCell ref="A64:C64"/>
    <mergeCell ref="D58:J58"/>
    <mergeCell ref="Q58:W58"/>
    <mergeCell ref="Q63:W63"/>
  </mergeCells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90C1-6D9D-4B14-BF81-5A778BAF2DE4}">
  <dimension ref="A1"/>
  <sheetViews>
    <sheetView workbookViewId="0">
      <selection activeCell="Y29" sqref="Y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30" customWidth="1"/>
    <col min="2" max="2" width="15" customWidth="1"/>
    <col min="3" max="3" width="40" customWidth="1"/>
    <col min="4" max="4" width="20" customWidth="1"/>
  </cols>
  <sheetData>
    <row r="1" spans="1:4" x14ac:dyDescent="0.25">
      <c r="A1" s="2" t="s">
        <v>18</v>
      </c>
      <c r="B1" t="e">
        <f>Fee_Matrix!#REF!</f>
        <v>#REF!</v>
      </c>
    </row>
    <row r="3" spans="1:4" x14ac:dyDescent="0.25">
      <c r="A3" s="1" t="s">
        <v>19</v>
      </c>
      <c r="B3" s="1" t="s">
        <v>20</v>
      </c>
      <c r="C3" s="1" t="s">
        <v>21</v>
      </c>
      <c r="D3" s="1" t="s">
        <v>22</v>
      </c>
    </row>
    <row r="4" spans="1:4" x14ac:dyDescent="0.25">
      <c r="A4" t="s">
        <v>23</v>
      </c>
      <c r="B4" s="3">
        <v>0.15</v>
      </c>
      <c r="C4" t="s">
        <v>24</v>
      </c>
      <c r="D4" t="e">
        <f t="shared" ref="D4:D9" si="0">$B$1*B4</f>
        <v>#REF!</v>
      </c>
    </row>
    <row r="5" spans="1:4" x14ac:dyDescent="0.25">
      <c r="A5" t="s">
        <v>25</v>
      </c>
      <c r="B5" s="3">
        <v>0.15</v>
      </c>
      <c r="C5" t="s">
        <v>26</v>
      </c>
      <c r="D5" t="e">
        <f t="shared" si="0"/>
        <v>#REF!</v>
      </c>
    </row>
    <row r="6" spans="1:4" x14ac:dyDescent="0.25">
      <c r="A6" t="s">
        <v>27</v>
      </c>
      <c r="B6" s="3">
        <v>0.2</v>
      </c>
      <c r="C6" t="s">
        <v>28</v>
      </c>
      <c r="D6" t="e">
        <f t="shared" si="0"/>
        <v>#REF!</v>
      </c>
    </row>
    <row r="7" spans="1:4" x14ac:dyDescent="0.25">
      <c r="A7" t="s">
        <v>29</v>
      </c>
      <c r="B7" s="3">
        <v>0.25</v>
      </c>
      <c r="C7" t="s">
        <v>30</v>
      </c>
      <c r="D7" t="e">
        <f t="shared" si="0"/>
        <v>#REF!</v>
      </c>
    </row>
    <row r="8" spans="1:4" x14ac:dyDescent="0.25">
      <c r="A8" t="s">
        <v>31</v>
      </c>
      <c r="B8" s="3">
        <v>0.05</v>
      </c>
      <c r="C8" t="s">
        <v>32</v>
      </c>
      <c r="D8" t="e">
        <f t="shared" si="0"/>
        <v>#REF!</v>
      </c>
    </row>
    <row r="9" spans="1:4" x14ac:dyDescent="0.25">
      <c r="A9" t="s">
        <v>33</v>
      </c>
      <c r="B9" s="3">
        <v>0.2</v>
      </c>
      <c r="C9" t="s">
        <v>34</v>
      </c>
      <c r="D9" t="e">
        <f t="shared" si="0"/>
        <v>#REF!</v>
      </c>
    </row>
    <row r="10" spans="1:4" x14ac:dyDescent="0.25">
      <c r="A10" s="2" t="s">
        <v>35</v>
      </c>
      <c r="D10" s="2" t="e">
        <f>SUM(D4:D9)</f>
        <v>#REF!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workbookViewId="0"/>
  </sheetViews>
  <sheetFormatPr defaultRowHeight="15" x14ac:dyDescent="0.25"/>
  <cols>
    <col min="1" max="1" width="100" customWidth="1"/>
  </cols>
  <sheetData>
    <row r="1" spans="1:1" x14ac:dyDescent="0.25">
      <c r="A1" t="s">
        <v>36</v>
      </c>
    </row>
    <row r="2" spans="1:1" x14ac:dyDescent="0.25">
      <c r="A2" t="s">
        <v>37</v>
      </c>
    </row>
    <row r="3" spans="1:1" x14ac:dyDescent="0.25">
      <c r="A3" t="s">
        <v>38</v>
      </c>
    </row>
    <row r="4" spans="1:1" x14ac:dyDescent="0.25">
      <c r="A4" t="s">
        <v>39</v>
      </c>
    </row>
    <row r="5" spans="1:1" x14ac:dyDescent="0.25">
      <c r="A5" t="s">
        <v>40</v>
      </c>
    </row>
    <row r="6" spans="1:1" x14ac:dyDescent="0.25">
      <c r="A6" t="s">
        <v>41</v>
      </c>
    </row>
    <row r="7" spans="1:1" x14ac:dyDescent="0.25">
      <c r="A7" t="s">
        <v>42</v>
      </c>
    </row>
    <row r="8" spans="1:1" x14ac:dyDescent="0.25">
      <c r="A8" t="s">
        <v>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9"/>
  <sheetViews>
    <sheetView topLeftCell="E1" zoomScale="145" zoomScaleNormal="145" workbookViewId="0">
      <selection activeCell="B5" sqref="B5"/>
    </sheetView>
  </sheetViews>
  <sheetFormatPr defaultRowHeight="15" x14ac:dyDescent="0.25"/>
  <cols>
    <col min="1" max="1" width="40" customWidth="1"/>
    <col min="2" max="2" width="53.7109375" customWidth="1"/>
    <col min="3" max="10" width="20" customWidth="1"/>
    <col min="11" max="11" width="15.28515625" customWidth="1"/>
  </cols>
  <sheetData>
    <row r="1" spans="1:11" x14ac:dyDescent="0.25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</row>
    <row r="2" spans="1:11" x14ac:dyDescent="0.25">
      <c r="A2" t="s">
        <v>54</v>
      </c>
      <c r="B2" t="s">
        <v>55</v>
      </c>
      <c r="C2">
        <v>1</v>
      </c>
      <c r="D2">
        <v>250</v>
      </c>
      <c r="E2">
        <v>300</v>
      </c>
      <c r="F2">
        <v>400</v>
      </c>
      <c r="G2">
        <v>500</v>
      </c>
      <c r="H2" s="6">
        <v>0.72</v>
      </c>
      <c r="I2" s="6">
        <v>0.18</v>
      </c>
      <c r="J2" s="6">
        <v>0.1</v>
      </c>
      <c r="K2" s="7">
        <f>SUM(H2:J2)</f>
        <v>0.99999999999999989</v>
      </c>
    </row>
    <row r="3" spans="1:11" x14ac:dyDescent="0.25">
      <c r="A3" t="s">
        <v>56</v>
      </c>
      <c r="B3" t="s">
        <v>55</v>
      </c>
      <c r="C3">
        <v>2</v>
      </c>
      <c r="D3">
        <v>400</v>
      </c>
      <c r="E3">
        <v>450</v>
      </c>
      <c r="F3">
        <v>600</v>
      </c>
      <c r="G3">
        <v>700</v>
      </c>
      <c r="H3" s="6">
        <v>0.69</v>
      </c>
      <c r="I3" s="6">
        <v>0.2</v>
      </c>
      <c r="J3" s="6">
        <v>0.11</v>
      </c>
      <c r="K3" s="7">
        <f>SUM(H3:J3)</f>
        <v>0.99999999999999989</v>
      </c>
    </row>
    <row r="4" spans="1:11" x14ac:dyDescent="0.25">
      <c r="A4" t="s">
        <v>57</v>
      </c>
      <c r="B4" t="s">
        <v>55</v>
      </c>
      <c r="C4">
        <v>3</v>
      </c>
      <c r="D4">
        <v>500</v>
      </c>
      <c r="E4">
        <v>550</v>
      </c>
      <c r="F4">
        <v>800</v>
      </c>
      <c r="G4">
        <v>900</v>
      </c>
      <c r="H4" s="6">
        <v>0.66</v>
      </c>
      <c r="I4" s="6">
        <v>0.22</v>
      </c>
      <c r="J4" s="6">
        <v>0.12</v>
      </c>
      <c r="K4" s="7">
        <f t="shared" ref="K4:K13" si="0">SUM(H4:J4)</f>
        <v>1</v>
      </c>
    </row>
    <row r="5" spans="1:11" x14ac:dyDescent="0.25">
      <c r="A5" t="s">
        <v>58</v>
      </c>
      <c r="B5" t="s">
        <v>59</v>
      </c>
      <c r="C5">
        <v>1</v>
      </c>
      <c r="D5">
        <v>150</v>
      </c>
      <c r="E5">
        <v>120</v>
      </c>
      <c r="F5">
        <v>300</v>
      </c>
      <c r="G5">
        <v>320</v>
      </c>
      <c r="H5" s="6">
        <v>0.72</v>
      </c>
      <c r="I5" s="6">
        <v>0.18</v>
      </c>
      <c r="J5" s="6">
        <v>0.1</v>
      </c>
      <c r="K5" s="7">
        <f t="shared" si="0"/>
        <v>0.99999999999999989</v>
      </c>
    </row>
    <row r="6" spans="1:11" x14ac:dyDescent="0.25">
      <c r="A6" t="s">
        <v>60</v>
      </c>
      <c r="B6" t="s">
        <v>59</v>
      </c>
      <c r="C6">
        <v>2</v>
      </c>
      <c r="D6">
        <v>120</v>
      </c>
      <c r="E6">
        <v>135</v>
      </c>
      <c r="F6">
        <v>340</v>
      </c>
      <c r="G6">
        <v>360</v>
      </c>
      <c r="H6" s="6">
        <v>0.69</v>
      </c>
      <c r="I6" s="6">
        <v>0.2</v>
      </c>
      <c r="J6" s="6">
        <v>0.11</v>
      </c>
      <c r="K6" s="7">
        <f t="shared" si="0"/>
        <v>0.99999999999999989</v>
      </c>
    </row>
    <row r="7" spans="1:11" x14ac:dyDescent="0.25">
      <c r="A7" t="s">
        <v>61</v>
      </c>
      <c r="B7" t="s">
        <v>59</v>
      </c>
      <c r="C7">
        <v>3</v>
      </c>
      <c r="D7">
        <v>135</v>
      </c>
      <c r="E7">
        <v>150</v>
      </c>
      <c r="F7">
        <v>380</v>
      </c>
      <c r="G7">
        <v>400</v>
      </c>
      <c r="H7" s="6">
        <v>0.66</v>
      </c>
      <c r="I7" s="6">
        <v>0.22</v>
      </c>
      <c r="J7" s="6">
        <v>0.12</v>
      </c>
      <c r="K7" s="7">
        <f t="shared" si="0"/>
        <v>1</v>
      </c>
    </row>
    <row r="8" spans="1:11" x14ac:dyDescent="0.25">
      <c r="A8" t="s">
        <v>62</v>
      </c>
      <c r="B8" t="s">
        <v>63</v>
      </c>
      <c r="C8">
        <v>1</v>
      </c>
      <c r="D8">
        <v>275</v>
      </c>
      <c r="E8">
        <v>320</v>
      </c>
      <c r="F8">
        <v>400</v>
      </c>
      <c r="G8">
        <v>500</v>
      </c>
      <c r="H8" s="6">
        <v>0.6</v>
      </c>
      <c r="I8" s="6">
        <v>0.3</v>
      </c>
      <c r="J8" s="6">
        <v>0.1</v>
      </c>
      <c r="K8" s="7">
        <f t="shared" si="0"/>
        <v>0.99999999999999989</v>
      </c>
    </row>
    <row r="9" spans="1:11" x14ac:dyDescent="0.25">
      <c r="A9" t="s">
        <v>64</v>
      </c>
      <c r="B9" t="s">
        <v>63</v>
      </c>
      <c r="C9">
        <v>2</v>
      </c>
      <c r="D9">
        <v>320</v>
      </c>
      <c r="E9">
        <v>380</v>
      </c>
      <c r="F9">
        <v>500</v>
      </c>
      <c r="G9">
        <v>600</v>
      </c>
      <c r="H9" s="6">
        <v>0.6</v>
      </c>
      <c r="I9" s="6">
        <v>0.3</v>
      </c>
      <c r="J9" s="6">
        <v>0.1</v>
      </c>
      <c r="K9" s="7">
        <f t="shared" si="0"/>
        <v>0.99999999999999989</v>
      </c>
    </row>
    <row r="10" spans="1:11" x14ac:dyDescent="0.25">
      <c r="A10" t="s">
        <v>65</v>
      </c>
      <c r="B10" t="s">
        <v>63</v>
      </c>
      <c r="C10">
        <v>3</v>
      </c>
      <c r="D10">
        <v>380</v>
      </c>
      <c r="E10">
        <v>420</v>
      </c>
      <c r="F10">
        <v>600</v>
      </c>
      <c r="G10">
        <v>700</v>
      </c>
      <c r="H10" s="6">
        <v>0.6</v>
      </c>
      <c r="I10" s="6">
        <v>0.3</v>
      </c>
      <c r="J10" s="6">
        <v>0.1</v>
      </c>
      <c r="K10" s="7">
        <f t="shared" si="0"/>
        <v>0.99999999999999989</v>
      </c>
    </row>
    <row r="11" spans="1:11" x14ac:dyDescent="0.25">
      <c r="A11" t="s">
        <v>66</v>
      </c>
      <c r="B11" t="s">
        <v>67</v>
      </c>
      <c r="C11">
        <v>1</v>
      </c>
      <c r="D11">
        <v>100</v>
      </c>
      <c r="E11">
        <v>160</v>
      </c>
      <c r="F11">
        <v>150</v>
      </c>
      <c r="G11">
        <v>250</v>
      </c>
      <c r="H11" s="6">
        <v>0.7</v>
      </c>
      <c r="I11" s="6">
        <v>0.2</v>
      </c>
      <c r="J11" s="6">
        <v>0.1</v>
      </c>
      <c r="K11" s="7">
        <f t="shared" si="0"/>
        <v>0.99999999999999989</v>
      </c>
    </row>
    <row r="12" spans="1:11" x14ac:dyDescent="0.25">
      <c r="A12" t="s">
        <v>68</v>
      </c>
      <c r="B12" t="s">
        <v>67</v>
      </c>
      <c r="C12">
        <v>2</v>
      </c>
      <c r="D12">
        <v>160</v>
      </c>
      <c r="E12">
        <v>240</v>
      </c>
      <c r="F12">
        <v>250</v>
      </c>
      <c r="G12">
        <v>330</v>
      </c>
      <c r="H12" s="6">
        <v>0.7</v>
      </c>
      <c r="I12" s="6">
        <v>0.2</v>
      </c>
      <c r="J12" s="6">
        <v>0.1</v>
      </c>
      <c r="K12" s="7">
        <f t="shared" si="0"/>
        <v>0.99999999999999989</v>
      </c>
    </row>
    <row r="13" spans="1:11" x14ac:dyDescent="0.25">
      <c r="A13" t="s">
        <v>69</v>
      </c>
      <c r="B13" t="s">
        <v>67</v>
      </c>
      <c r="C13">
        <v>3</v>
      </c>
      <c r="D13">
        <v>240</v>
      </c>
      <c r="E13">
        <v>300</v>
      </c>
      <c r="F13">
        <v>330</v>
      </c>
      <c r="G13">
        <v>400</v>
      </c>
      <c r="H13" s="6">
        <v>0.7</v>
      </c>
      <c r="I13" s="6">
        <v>0.2</v>
      </c>
      <c r="J13" s="6">
        <v>0.1</v>
      </c>
      <c r="K13" s="7">
        <f t="shared" si="0"/>
        <v>0.99999999999999989</v>
      </c>
    </row>
    <row r="19" spans="7:10" x14ac:dyDescent="0.25">
      <c r="G19" s="4"/>
      <c r="H19" s="5"/>
      <c r="I19" s="5"/>
      <c r="J19" s="5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6"/>
  <sheetViews>
    <sheetView workbookViewId="0">
      <selection activeCell="B15" sqref="B15"/>
    </sheetView>
  </sheetViews>
  <sheetFormatPr defaultRowHeight="15" x14ac:dyDescent="0.25"/>
  <cols>
    <col min="1" max="1" width="50" customWidth="1"/>
    <col min="2" max="2" width="38.5703125" customWidth="1"/>
    <col min="3" max="3" width="20.5703125" customWidth="1"/>
    <col min="4" max="4" width="20.7109375" customWidth="1"/>
    <col min="5" max="5" width="19.5703125" style="147" customWidth="1"/>
    <col min="6" max="6" width="16" customWidth="1"/>
    <col min="7" max="7" width="18.140625" customWidth="1"/>
    <col min="8" max="9" width="25" customWidth="1"/>
  </cols>
  <sheetData>
    <row r="1" spans="1:9" x14ac:dyDescent="0.25">
      <c r="A1" s="2" t="s">
        <v>44</v>
      </c>
      <c r="B1" s="2" t="s">
        <v>45</v>
      </c>
      <c r="C1" s="2" t="s">
        <v>70</v>
      </c>
      <c r="D1" s="2" t="s">
        <v>71</v>
      </c>
      <c r="E1" s="146" t="s">
        <v>72</v>
      </c>
      <c r="F1" s="2" t="s">
        <v>73</v>
      </c>
      <c r="G1" s="2" t="s">
        <v>74</v>
      </c>
      <c r="H1" s="2" t="s">
        <v>75</v>
      </c>
      <c r="I1" s="2" t="s">
        <v>76</v>
      </c>
    </row>
    <row r="2" spans="1:9" x14ac:dyDescent="0.25">
      <c r="A2" t="s">
        <v>77</v>
      </c>
      <c r="B2" t="s">
        <v>55</v>
      </c>
      <c r="C2">
        <v>1</v>
      </c>
      <c r="D2" t="s">
        <v>78</v>
      </c>
      <c r="E2" s="148">
        <f>AVERAGE(Table1[[#This Row],[PercentMin]:[PercentMax]])/100</f>
        <v>0.06</v>
      </c>
      <c r="F2">
        <v>5</v>
      </c>
      <c r="G2">
        <v>7</v>
      </c>
      <c r="H2">
        <v>15</v>
      </c>
      <c r="I2">
        <v>28</v>
      </c>
    </row>
    <row r="3" spans="1:9" x14ac:dyDescent="0.25">
      <c r="A3" t="s">
        <v>79</v>
      </c>
      <c r="B3" t="s">
        <v>55</v>
      </c>
      <c r="C3">
        <v>1</v>
      </c>
      <c r="D3" t="s">
        <v>80</v>
      </c>
      <c r="E3" s="148">
        <f>AVERAGE(Table1[[#This Row],[PercentMin]:[PercentMax]])/100</f>
        <v>0.31</v>
      </c>
      <c r="F3">
        <v>29</v>
      </c>
      <c r="G3">
        <v>33</v>
      </c>
      <c r="H3">
        <v>30</v>
      </c>
      <c r="I3">
        <v>48</v>
      </c>
    </row>
    <row r="4" spans="1:9" x14ac:dyDescent="0.25">
      <c r="A4" t="s">
        <v>81</v>
      </c>
      <c r="B4" t="s">
        <v>55</v>
      </c>
      <c r="C4">
        <v>1</v>
      </c>
      <c r="D4" t="s">
        <v>82</v>
      </c>
      <c r="E4" s="148">
        <f>AVERAGE(Table1[[#This Row],[PercentMin]:[PercentMax]])/100</f>
        <v>0.08</v>
      </c>
      <c r="F4">
        <v>7</v>
      </c>
      <c r="G4">
        <v>9</v>
      </c>
      <c r="H4">
        <v>24</v>
      </c>
      <c r="I4">
        <v>40</v>
      </c>
    </row>
    <row r="5" spans="1:9" x14ac:dyDescent="0.25">
      <c r="A5" t="s">
        <v>83</v>
      </c>
      <c r="B5" t="s">
        <v>55</v>
      </c>
      <c r="C5">
        <v>1</v>
      </c>
      <c r="D5" t="s">
        <v>84</v>
      </c>
      <c r="E5" s="148">
        <f>AVERAGE(Table1[[#This Row],[PercentMin]:[PercentMax]])/100</f>
        <v>0.05</v>
      </c>
      <c r="F5">
        <v>4</v>
      </c>
      <c r="G5">
        <v>6</v>
      </c>
      <c r="H5">
        <v>12</v>
      </c>
      <c r="I5">
        <v>24</v>
      </c>
    </row>
    <row r="6" spans="1:9" x14ac:dyDescent="0.25">
      <c r="A6" t="s">
        <v>85</v>
      </c>
      <c r="B6" t="s">
        <v>55</v>
      </c>
      <c r="C6">
        <v>1</v>
      </c>
      <c r="D6" t="s">
        <v>86</v>
      </c>
      <c r="E6" s="148">
        <f>AVERAGE(Table1[[#This Row],[PercentMin]:[PercentMax]])/100</f>
        <v>0.04</v>
      </c>
      <c r="F6">
        <v>3</v>
      </c>
      <c r="G6">
        <v>5</v>
      </c>
      <c r="H6">
        <v>9</v>
      </c>
      <c r="I6">
        <v>20</v>
      </c>
    </row>
    <row r="7" spans="1:9" x14ac:dyDescent="0.25">
      <c r="A7" t="s">
        <v>87</v>
      </c>
      <c r="B7" t="s">
        <v>55</v>
      </c>
      <c r="C7">
        <v>1</v>
      </c>
      <c r="D7" t="s">
        <v>88</v>
      </c>
      <c r="E7" s="148">
        <f>AVERAGE(Table1[[#This Row],[PercentMin]:[PercentMax]])/100</f>
        <v>2.5000000000000001E-2</v>
      </c>
      <c r="F7">
        <v>2</v>
      </c>
      <c r="G7">
        <v>3</v>
      </c>
      <c r="H7">
        <v>6</v>
      </c>
      <c r="I7">
        <v>12</v>
      </c>
    </row>
    <row r="8" spans="1:9" x14ac:dyDescent="0.25">
      <c r="A8" t="s">
        <v>89</v>
      </c>
      <c r="B8" t="s">
        <v>55</v>
      </c>
      <c r="C8">
        <v>2</v>
      </c>
      <c r="D8" t="s">
        <v>78</v>
      </c>
      <c r="E8" s="148">
        <f>AVERAGE(Table1[[#This Row],[PercentMin]:[PercentMax]])/100</f>
        <v>7.0000000000000007E-2</v>
      </c>
      <c r="F8">
        <v>6</v>
      </c>
      <c r="G8">
        <v>8</v>
      </c>
      <c r="H8">
        <v>24</v>
      </c>
      <c r="I8">
        <v>40</v>
      </c>
    </row>
    <row r="9" spans="1:9" x14ac:dyDescent="0.25">
      <c r="A9" t="s">
        <v>90</v>
      </c>
      <c r="B9" t="s">
        <v>55</v>
      </c>
      <c r="C9">
        <v>2</v>
      </c>
      <c r="D9" t="s">
        <v>80</v>
      </c>
      <c r="E9" s="148">
        <f>AVERAGE(Table1[[#This Row],[PercentMin]:[PercentMax]])/100</f>
        <v>0.3</v>
      </c>
      <c r="F9">
        <v>28</v>
      </c>
      <c r="G9" s="147">
        <v>32</v>
      </c>
      <c r="H9">
        <v>44</v>
      </c>
      <c r="I9">
        <v>65</v>
      </c>
    </row>
    <row r="10" spans="1:9" x14ac:dyDescent="0.25">
      <c r="A10" t="s">
        <v>91</v>
      </c>
      <c r="B10" t="s">
        <v>55</v>
      </c>
      <c r="C10">
        <v>2</v>
      </c>
      <c r="D10" t="s">
        <v>82</v>
      </c>
      <c r="E10" s="148">
        <f>AVERAGE(Table1[[#This Row],[PercentMin]:[PercentMax]])/100</f>
        <v>0.09</v>
      </c>
      <c r="F10">
        <v>8</v>
      </c>
      <c r="G10">
        <v>10</v>
      </c>
      <c r="H10">
        <v>36</v>
      </c>
      <c r="I10">
        <v>55</v>
      </c>
    </row>
    <row r="11" spans="1:9" x14ac:dyDescent="0.25">
      <c r="A11" t="s">
        <v>92</v>
      </c>
      <c r="B11" t="s">
        <v>55</v>
      </c>
      <c r="C11">
        <v>2</v>
      </c>
      <c r="D11" t="s">
        <v>84</v>
      </c>
      <c r="E11" s="148">
        <f>AVERAGE(Table1[[#This Row],[PercentMin]:[PercentMax]])/100</f>
        <v>0.06</v>
      </c>
      <c r="F11">
        <v>5</v>
      </c>
      <c r="G11">
        <v>7</v>
      </c>
      <c r="H11">
        <v>20</v>
      </c>
      <c r="I11">
        <v>35</v>
      </c>
    </row>
    <row r="12" spans="1:9" x14ac:dyDescent="0.25">
      <c r="A12" t="s">
        <v>93</v>
      </c>
      <c r="B12" t="s">
        <v>55</v>
      </c>
      <c r="C12">
        <v>2</v>
      </c>
      <c r="D12" t="s">
        <v>86</v>
      </c>
      <c r="E12" s="148">
        <f>AVERAGE(Table1[[#This Row],[PercentMin]:[PercentMax]])/100</f>
        <v>0.05</v>
      </c>
      <c r="F12">
        <v>4</v>
      </c>
      <c r="G12">
        <v>6</v>
      </c>
      <c r="H12">
        <v>16</v>
      </c>
      <c r="I12">
        <v>30</v>
      </c>
    </row>
    <row r="13" spans="1:9" x14ac:dyDescent="0.25">
      <c r="A13" t="s">
        <v>94</v>
      </c>
      <c r="B13" t="s">
        <v>55</v>
      </c>
      <c r="C13">
        <v>2</v>
      </c>
      <c r="D13" t="s">
        <v>88</v>
      </c>
      <c r="E13" s="148">
        <f>AVERAGE(Table1[[#This Row],[PercentMin]:[PercentMax]])/100</f>
        <v>3.5000000000000003E-2</v>
      </c>
      <c r="F13">
        <v>3</v>
      </c>
      <c r="G13">
        <v>4</v>
      </c>
      <c r="H13">
        <v>12</v>
      </c>
      <c r="I13">
        <v>20</v>
      </c>
    </row>
    <row r="14" spans="1:9" x14ac:dyDescent="0.25">
      <c r="A14" t="s">
        <v>95</v>
      </c>
      <c r="B14" t="s">
        <v>55</v>
      </c>
      <c r="C14">
        <v>3</v>
      </c>
      <c r="D14" t="s">
        <v>78</v>
      </c>
      <c r="E14" s="148">
        <f>AVERAGE(Table1[[#This Row],[PercentMin]:[PercentMax]])/100</f>
        <v>7.4999999999999997E-2</v>
      </c>
      <c r="F14">
        <v>6</v>
      </c>
      <c r="G14">
        <v>9</v>
      </c>
      <c r="H14">
        <v>30</v>
      </c>
      <c r="I14">
        <v>54</v>
      </c>
    </row>
    <row r="15" spans="1:9" x14ac:dyDescent="0.25">
      <c r="A15" t="s">
        <v>96</v>
      </c>
      <c r="B15" t="s">
        <v>55</v>
      </c>
      <c r="C15">
        <v>3</v>
      </c>
      <c r="D15" t="s">
        <v>80</v>
      </c>
      <c r="E15" s="148">
        <f>AVERAGE(Table1[[#This Row],[PercentMin]:[PercentMax]])/100</f>
        <v>0.28999999999999998</v>
      </c>
      <c r="F15">
        <v>27</v>
      </c>
      <c r="G15" s="147">
        <v>31</v>
      </c>
      <c r="H15">
        <v>60</v>
      </c>
      <c r="I15">
        <v>90</v>
      </c>
    </row>
    <row r="16" spans="1:9" x14ac:dyDescent="0.25">
      <c r="A16" t="s">
        <v>97</v>
      </c>
      <c r="B16" t="s">
        <v>55</v>
      </c>
      <c r="C16">
        <v>3</v>
      </c>
      <c r="D16" t="s">
        <v>82</v>
      </c>
      <c r="E16" s="148">
        <f>AVERAGE(Table1[[#This Row],[PercentMin]:[PercentMax]])/100</f>
        <v>0.1</v>
      </c>
      <c r="F16">
        <v>9</v>
      </c>
      <c r="G16">
        <v>11</v>
      </c>
      <c r="H16">
        <v>50</v>
      </c>
      <c r="I16">
        <v>72</v>
      </c>
    </row>
    <row r="17" spans="1:9" x14ac:dyDescent="0.25">
      <c r="A17" t="s">
        <v>98</v>
      </c>
      <c r="B17" t="s">
        <v>55</v>
      </c>
      <c r="C17">
        <v>3</v>
      </c>
      <c r="D17" t="s">
        <v>84</v>
      </c>
      <c r="E17" s="148">
        <f>AVERAGE(Table1[[#This Row],[PercentMin]:[PercentMax]])/100</f>
        <v>7.0000000000000007E-2</v>
      </c>
      <c r="F17">
        <v>6</v>
      </c>
      <c r="G17">
        <v>8</v>
      </c>
      <c r="H17">
        <v>30</v>
      </c>
      <c r="I17">
        <v>48</v>
      </c>
    </row>
    <row r="18" spans="1:9" x14ac:dyDescent="0.25">
      <c r="A18" t="s">
        <v>99</v>
      </c>
      <c r="B18" t="s">
        <v>55</v>
      </c>
      <c r="C18">
        <v>3</v>
      </c>
      <c r="D18" t="s">
        <v>86</v>
      </c>
      <c r="E18" s="148">
        <f>AVERAGE(Table1[[#This Row],[PercentMin]:[PercentMax]])/100</f>
        <v>0.05</v>
      </c>
      <c r="F18">
        <v>4</v>
      </c>
      <c r="G18">
        <v>6</v>
      </c>
      <c r="H18">
        <v>20</v>
      </c>
      <c r="I18">
        <v>36</v>
      </c>
    </row>
    <row r="19" spans="1:9" x14ac:dyDescent="0.25">
      <c r="A19" t="s">
        <v>100</v>
      </c>
      <c r="B19" t="s">
        <v>55</v>
      </c>
      <c r="C19">
        <v>3</v>
      </c>
      <c r="D19" t="s">
        <v>88</v>
      </c>
      <c r="E19" s="148">
        <f>AVERAGE(Table1[[#This Row],[PercentMin]:[PercentMax]])/100</f>
        <v>0.04</v>
      </c>
      <c r="F19">
        <v>3</v>
      </c>
      <c r="G19">
        <v>5</v>
      </c>
      <c r="H19">
        <v>15</v>
      </c>
      <c r="I19">
        <v>30</v>
      </c>
    </row>
    <row r="20" spans="1:9" x14ac:dyDescent="0.25">
      <c r="A20" t="s">
        <v>225</v>
      </c>
      <c r="B20" t="s">
        <v>59</v>
      </c>
      <c r="C20">
        <v>1</v>
      </c>
      <c r="D20" t="s">
        <v>78</v>
      </c>
      <c r="E20" s="148">
        <f>AVERAGE(Table1[[#This Row],[PercentMin]:[PercentMax]])/100</f>
        <v>0.05</v>
      </c>
      <c r="F20">
        <v>4</v>
      </c>
      <c r="G20">
        <v>6</v>
      </c>
      <c r="H20">
        <f>H2*(1-20%)</f>
        <v>12</v>
      </c>
      <c r="I20">
        <f>I2*(1-20%)</f>
        <v>22.400000000000002</v>
      </c>
    </row>
    <row r="21" spans="1:9" x14ac:dyDescent="0.25">
      <c r="A21" t="s">
        <v>226</v>
      </c>
      <c r="B21" t="s">
        <v>59</v>
      </c>
      <c r="C21">
        <v>1</v>
      </c>
      <c r="D21" t="s">
        <v>80</v>
      </c>
      <c r="E21" s="148">
        <f>AVERAGE(Table1[[#This Row],[PercentMin]:[PercentMax]])/100</f>
        <v>0.28000000000000003</v>
      </c>
      <c r="F21">
        <v>26</v>
      </c>
      <c r="G21">
        <v>30</v>
      </c>
      <c r="H21">
        <f t="shared" ref="H21:I21" si="0">H3*(1-20%)</f>
        <v>24</v>
      </c>
      <c r="I21">
        <f t="shared" si="0"/>
        <v>38.400000000000006</v>
      </c>
    </row>
    <row r="22" spans="1:9" x14ac:dyDescent="0.25">
      <c r="A22" t="s">
        <v>227</v>
      </c>
      <c r="B22" t="s">
        <v>59</v>
      </c>
      <c r="C22">
        <v>1</v>
      </c>
      <c r="D22" t="s">
        <v>82</v>
      </c>
      <c r="E22" s="148">
        <f>AVERAGE(Table1[[#This Row],[PercentMin]:[PercentMax]])/100</f>
        <v>0.06</v>
      </c>
      <c r="F22">
        <v>5</v>
      </c>
      <c r="G22">
        <v>7</v>
      </c>
      <c r="H22">
        <f t="shared" ref="H22:I22" si="1">H4*(1-20%)</f>
        <v>19.200000000000003</v>
      </c>
      <c r="I22">
        <f t="shared" si="1"/>
        <v>32</v>
      </c>
    </row>
    <row r="23" spans="1:9" x14ac:dyDescent="0.25">
      <c r="A23" t="s">
        <v>228</v>
      </c>
      <c r="B23" t="s">
        <v>59</v>
      </c>
      <c r="C23">
        <v>1</v>
      </c>
      <c r="D23" t="s">
        <v>84</v>
      </c>
      <c r="E23" s="148">
        <f>AVERAGE(Table1[[#This Row],[PercentMin]:[PercentMax]])/100</f>
        <v>4.4999999999999998E-2</v>
      </c>
      <c r="F23">
        <v>4</v>
      </c>
      <c r="G23">
        <v>5</v>
      </c>
      <c r="H23">
        <f t="shared" ref="H23:I23" si="2">H5*(1-20%)</f>
        <v>9.6000000000000014</v>
      </c>
      <c r="I23">
        <f t="shared" si="2"/>
        <v>19.200000000000003</v>
      </c>
    </row>
    <row r="24" spans="1:9" x14ac:dyDescent="0.25">
      <c r="A24" t="s">
        <v>229</v>
      </c>
      <c r="B24" t="s">
        <v>101</v>
      </c>
      <c r="C24">
        <v>1</v>
      </c>
      <c r="D24" t="s">
        <v>86</v>
      </c>
      <c r="E24" s="148">
        <f>AVERAGE(Table1[[#This Row],[PercentMin]:[PercentMax]])/100</f>
        <v>3.5000000000000003E-2</v>
      </c>
      <c r="F24">
        <v>3</v>
      </c>
      <c r="G24">
        <v>4</v>
      </c>
      <c r="H24">
        <f t="shared" ref="H24:I24" si="3">H6*(1-20%)</f>
        <v>7.2</v>
      </c>
      <c r="I24">
        <f t="shared" si="3"/>
        <v>16</v>
      </c>
    </row>
    <row r="25" spans="1:9" x14ac:dyDescent="0.25">
      <c r="A25" t="s">
        <v>230</v>
      </c>
      <c r="B25" t="s">
        <v>101</v>
      </c>
      <c r="C25">
        <v>1</v>
      </c>
      <c r="D25" t="s">
        <v>88</v>
      </c>
      <c r="E25" s="148">
        <f>AVERAGE(Table1[[#This Row],[PercentMin]:[PercentMax]])/100</f>
        <v>1.4999999999999999E-2</v>
      </c>
      <c r="F25">
        <v>1</v>
      </c>
      <c r="G25">
        <v>2</v>
      </c>
      <c r="H25">
        <f t="shared" ref="H25:I25" si="4">H7*(1-20%)</f>
        <v>4.8000000000000007</v>
      </c>
      <c r="I25">
        <f t="shared" si="4"/>
        <v>9.6000000000000014</v>
      </c>
    </row>
    <row r="26" spans="1:9" x14ac:dyDescent="0.25">
      <c r="A26" t="s">
        <v>231</v>
      </c>
      <c r="B26" t="s">
        <v>59</v>
      </c>
      <c r="C26">
        <v>2</v>
      </c>
      <c r="D26" t="s">
        <v>78</v>
      </c>
      <c r="E26" s="148">
        <f>AVERAGE(Table1[[#This Row],[PercentMin]:[PercentMax]])/100</f>
        <v>0.05</v>
      </c>
      <c r="F26">
        <v>4</v>
      </c>
      <c r="G26">
        <v>6</v>
      </c>
      <c r="H26">
        <f t="shared" ref="H26:I26" si="5">H8*(1-20%)</f>
        <v>19.200000000000003</v>
      </c>
      <c r="I26">
        <f t="shared" si="5"/>
        <v>32</v>
      </c>
    </row>
    <row r="27" spans="1:9" x14ac:dyDescent="0.25">
      <c r="A27" t="s">
        <v>232</v>
      </c>
      <c r="B27" t="s">
        <v>59</v>
      </c>
      <c r="C27">
        <v>2</v>
      </c>
      <c r="D27" t="s">
        <v>80</v>
      </c>
      <c r="E27" s="148">
        <f>AVERAGE(Table1[[#This Row],[PercentMin]:[PercentMax]])/100</f>
        <v>0.27</v>
      </c>
      <c r="F27">
        <v>25</v>
      </c>
      <c r="G27">
        <v>29</v>
      </c>
      <c r="H27">
        <f t="shared" ref="H27:I27" si="6">H9*(1-20%)</f>
        <v>35.200000000000003</v>
      </c>
      <c r="I27">
        <f t="shared" si="6"/>
        <v>52</v>
      </c>
    </row>
    <row r="28" spans="1:9" x14ac:dyDescent="0.25">
      <c r="A28" t="s">
        <v>233</v>
      </c>
      <c r="B28" t="s">
        <v>59</v>
      </c>
      <c r="C28">
        <v>2</v>
      </c>
      <c r="D28" t="s">
        <v>82</v>
      </c>
      <c r="E28" s="148">
        <f>AVERAGE(Table1[[#This Row],[PercentMin]:[PercentMax]])/100</f>
        <v>0.06</v>
      </c>
      <c r="F28">
        <v>5</v>
      </c>
      <c r="G28">
        <v>7</v>
      </c>
      <c r="H28">
        <f t="shared" ref="H28:I28" si="7">H10*(1-20%)</f>
        <v>28.8</v>
      </c>
      <c r="I28">
        <f t="shared" si="7"/>
        <v>44</v>
      </c>
    </row>
    <row r="29" spans="1:9" x14ac:dyDescent="0.25">
      <c r="A29" t="s">
        <v>234</v>
      </c>
      <c r="B29" t="s">
        <v>59</v>
      </c>
      <c r="C29">
        <v>2</v>
      </c>
      <c r="D29" t="s">
        <v>84</v>
      </c>
      <c r="E29" s="148">
        <f>AVERAGE(Table1[[#This Row],[PercentMin]:[PercentMax]])/100</f>
        <v>4.4999999999999998E-2</v>
      </c>
      <c r="F29">
        <v>4</v>
      </c>
      <c r="G29">
        <v>5</v>
      </c>
      <c r="H29">
        <f t="shared" ref="H29:I29" si="8">H11*(1-20%)</f>
        <v>16</v>
      </c>
      <c r="I29">
        <f t="shared" si="8"/>
        <v>28</v>
      </c>
    </row>
    <row r="30" spans="1:9" x14ac:dyDescent="0.25">
      <c r="A30" t="s">
        <v>235</v>
      </c>
      <c r="B30" t="s">
        <v>101</v>
      </c>
      <c r="C30">
        <v>2</v>
      </c>
      <c r="D30" t="s">
        <v>86</v>
      </c>
      <c r="E30" s="148">
        <f>AVERAGE(Table1[[#This Row],[PercentMin]:[PercentMax]])/100</f>
        <v>3.5000000000000003E-2</v>
      </c>
      <c r="F30">
        <v>3</v>
      </c>
      <c r="G30">
        <v>4</v>
      </c>
      <c r="H30">
        <f t="shared" ref="H30:I30" si="9">H12*(1-20%)</f>
        <v>12.8</v>
      </c>
      <c r="I30">
        <f t="shared" si="9"/>
        <v>24</v>
      </c>
    </row>
    <row r="31" spans="1:9" x14ac:dyDescent="0.25">
      <c r="A31" t="s">
        <v>236</v>
      </c>
      <c r="B31" t="s">
        <v>101</v>
      </c>
      <c r="C31">
        <v>2</v>
      </c>
      <c r="D31" t="s">
        <v>88</v>
      </c>
      <c r="E31" s="148">
        <f>AVERAGE(Table1[[#This Row],[PercentMin]:[PercentMax]])/100</f>
        <v>1.4999999999999999E-2</v>
      </c>
      <c r="F31">
        <v>1</v>
      </c>
      <c r="G31">
        <v>2</v>
      </c>
      <c r="H31">
        <f t="shared" ref="H31:I31" si="10">H13*(1-20%)</f>
        <v>9.6000000000000014</v>
      </c>
      <c r="I31">
        <f t="shared" si="10"/>
        <v>16</v>
      </c>
    </row>
    <row r="32" spans="1:9" x14ac:dyDescent="0.25">
      <c r="A32" t="s">
        <v>237</v>
      </c>
      <c r="B32" t="s">
        <v>59</v>
      </c>
      <c r="C32">
        <v>3</v>
      </c>
      <c r="D32" t="s">
        <v>78</v>
      </c>
      <c r="E32" s="148">
        <f>AVERAGE(Table1[[#This Row],[PercentMin]:[PercentMax]])/100</f>
        <v>0.05</v>
      </c>
      <c r="F32">
        <v>4</v>
      </c>
      <c r="G32">
        <v>6</v>
      </c>
      <c r="H32">
        <f t="shared" ref="H32:I32" si="11">H14*(1-20%)</f>
        <v>24</v>
      </c>
      <c r="I32">
        <f t="shared" si="11"/>
        <v>43.2</v>
      </c>
    </row>
    <row r="33" spans="1:9" x14ac:dyDescent="0.25">
      <c r="A33" t="s">
        <v>238</v>
      </c>
      <c r="B33" t="s">
        <v>59</v>
      </c>
      <c r="C33">
        <v>3</v>
      </c>
      <c r="D33" t="s">
        <v>80</v>
      </c>
      <c r="E33" s="148">
        <f>AVERAGE(Table1[[#This Row],[PercentMin]:[PercentMax]])/100</f>
        <v>0.26</v>
      </c>
      <c r="F33">
        <v>24</v>
      </c>
      <c r="G33">
        <v>28</v>
      </c>
      <c r="H33">
        <f t="shared" ref="H33:I33" si="12">H15*(1-20%)</f>
        <v>48</v>
      </c>
      <c r="I33">
        <f t="shared" si="12"/>
        <v>72</v>
      </c>
    </row>
    <row r="34" spans="1:9" x14ac:dyDescent="0.25">
      <c r="A34" t="s">
        <v>239</v>
      </c>
      <c r="B34" t="s">
        <v>59</v>
      </c>
      <c r="C34">
        <v>3</v>
      </c>
      <c r="D34" t="s">
        <v>82</v>
      </c>
      <c r="E34" s="148">
        <f>AVERAGE(Table1[[#This Row],[PercentMin]:[PercentMax]])/100</f>
        <v>0.06</v>
      </c>
      <c r="F34">
        <v>5</v>
      </c>
      <c r="G34">
        <v>7</v>
      </c>
      <c r="H34">
        <f t="shared" ref="H34:I34" si="13">H16*(1-20%)</f>
        <v>40</v>
      </c>
      <c r="I34">
        <f t="shared" si="13"/>
        <v>57.6</v>
      </c>
    </row>
    <row r="35" spans="1:9" x14ac:dyDescent="0.25">
      <c r="A35" t="s">
        <v>240</v>
      </c>
      <c r="B35" t="s">
        <v>59</v>
      </c>
      <c r="C35">
        <v>3</v>
      </c>
      <c r="D35" t="s">
        <v>84</v>
      </c>
      <c r="E35" s="148">
        <f>AVERAGE(Table1[[#This Row],[PercentMin]:[PercentMax]])/100</f>
        <v>4.4999999999999998E-2</v>
      </c>
      <c r="F35">
        <v>4</v>
      </c>
      <c r="G35">
        <v>5</v>
      </c>
      <c r="H35">
        <f t="shared" ref="H35:I35" si="14">H17*(1-20%)</f>
        <v>24</v>
      </c>
      <c r="I35">
        <f t="shared" si="14"/>
        <v>38.400000000000006</v>
      </c>
    </row>
    <row r="36" spans="1:9" x14ac:dyDescent="0.25">
      <c r="A36" t="s">
        <v>241</v>
      </c>
      <c r="B36" t="s">
        <v>101</v>
      </c>
      <c r="C36">
        <v>3</v>
      </c>
      <c r="D36" t="s">
        <v>86</v>
      </c>
      <c r="E36" s="148">
        <f>AVERAGE(Table1[[#This Row],[PercentMin]:[PercentMax]])/100</f>
        <v>3.5000000000000003E-2</v>
      </c>
      <c r="F36">
        <v>3</v>
      </c>
      <c r="G36">
        <v>4</v>
      </c>
      <c r="H36">
        <f t="shared" ref="H36:I36" si="15">H18*(1-20%)</f>
        <v>16</v>
      </c>
      <c r="I36">
        <f t="shared" si="15"/>
        <v>28.8</v>
      </c>
    </row>
    <row r="37" spans="1:9" x14ac:dyDescent="0.25">
      <c r="A37" t="s">
        <v>242</v>
      </c>
      <c r="B37" t="s">
        <v>101</v>
      </c>
      <c r="C37">
        <v>3</v>
      </c>
      <c r="D37" t="s">
        <v>88</v>
      </c>
      <c r="E37" s="148">
        <f>AVERAGE(Table1[[#This Row],[PercentMin]:[PercentMax]])/100</f>
        <v>1.4999999999999999E-2</v>
      </c>
      <c r="F37">
        <v>1</v>
      </c>
      <c r="G37">
        <v>2</v>
      </c>
      <c r="H37">
        <f t="shared" ref="H37:I37" si="16">H19*(1-20%)</f>
        <v>12</v>
      </c>
      <c r="I37">
        <f t="shared" si="16"/>
        <v>24</v>
      </c>
    </row>
    <row r="38" spans="1:9" x14ac:dyDescent="0.25">
      <c r="A38" t="s">
        <v>102</v>
      </c>
      <c r="B38" t="s">
        <v>103</v>
      </c>
      <c r="C38">
        <v>1</v>
      </c>
      <c r="D38" t="s">
        <v>78</v>
      </c>
      <c r="E38" s="148">
        <f>AVERAGE(Table1[[#This Row],[PercentMin]:[PercentMax]])/100</f>
        <v>6.5000000000000002E-2</v>
      </c>
      <c r="F38">
        <v>5</v>
      </c>
      <c r="G38">
        <v>8</v>
      </c>
      <c r="H38">
        <v>18</v>
      </c>
      <c r="I38">
        <v>40</v>
      </c>
    </row>
    <row r="39" spans="1:9" x14ac:dyDescent="0.25">
      <c r="A39" t="s">
        <v>104</v>
      </c>
      <c r="B39" t="s">
        <v>103</v>
      </c>
      <c r="C39">
        <v>1</v>
      </c>
      <c r="D39" t="s">
        <v>80</v>
      </c>
      <c r="E39" s="148">
        <f>AVERAGE(Table1[[#This Row],[PercentMin]:[PercentMax]])/100</f>
        <v>0.23</v>
      </c>
      <c r="F39">
        <v>20</v>
      </c>
      <c r="G39">
        <v>26</v>
      </c>
      <c r="H39">
        <v>53</v>
      </c>
      <c r="I39">
        <v>90</v>
      </c>
    </row>
    <row r="40" spans="1:9" x14ac:dyDescent="0.25">
      <c r="A40" t="s">
        <v>105</v>
      </c>
      <c r="B40" t="s">
        <v>103</v>
      </c>
      <c r="C40">
        <v>1</v>
      </c>
      <c r="D40" t="s">
        <v>82</v>
      </c>
      <c r="E40" s="148">
        <f>AVERAGE(Table1[[#This Row],[PercentMin]:[PercentMax]])/100</f>
        <v>0.125</v>
      </c>
      <c r="F40">
        <v>11</v>
      </c>
      <c r="G40">
        <v>14</v>
      </c>
      <c r="H40">
        <v>42</v>
      </c>
      <c r="I40">
        <v>75</v>
      </c>
    </row>
    <row r="41" spans="1:9" x14ac:dyDescent="0.25">
      <c r="A41" t="s">
        <v>106</v>
      </c>
      <c r="B41" t="s">
        <v>103</v>
      </c>
      <c r="C41">
        <v>1</v>
      </c>
      <c r="D41" t="s">
        <v>84</v>
      </c>
      <c r="E41" s="148">
        <f>AVERAGE(Table1[[#This Row],[PercentMin]:[PercentMax]])/100</f>
        <v>7.4999999999999997E-2</v>
      </c>
      <c r="F41">
        <v>6</v>
      </c>
      <c r="G41">
        <v>9</v>
      </c>
      <c r="H41">
        <v>21</v>
      </c>
      <c r="I41">
        <v>45</v>
      </c>
    </row>
    <row r="42" spans="1:9" x14ac:dyDescent="0.25">
      <c r="A42" t="s">
        <v>107</v>
      </c>
      <c r="B42" t="s">
        <v>103</v>
      </c>
      <c r="C42">
        <v>1</v>
      </c>
      <c r="D42" t="s">
        <v>86</v>
      </c>
      <c r="E42" s="148">
        <f>AVERAGE(Table1[[#This Row],[PercentMin]:[PercentMax]])/100</f>
        <v>0.04</v>
      </c>
      <c r="F42">
        <v>3</v>
      </c>
      <c r="G42">
        <v>5</v>
      </c>
      <c r="H42">
        <v>10</v>
      </c>
      <c r="I42">
        <v>25</v>
      </c>
    </row>
    <row r="43" spans="1:9" x14ac:dyDescent="0.25">
      <c r="A43" t="s">
        <v>108</v>
      </c>
      <c r="B43" t="s">
        <v>103</v>
      </c>
      <c r="C43">
        <v>1</v>
      </c>
      <c r="D43" t="s">
        <v>88</v>
      </c>
      <c r="E43" s="148">
        <f>AVERAGE(Table1[[#This Row],[PercentMin]:[PercentMax]])/100</f>
        <v>3.5000000000000003E-2</v>
      </c>
      <c r="F43">
        <v>3</v>
      </c>
      <c r="G43">
        <v>4</v>
      </c>
      <c r="H43">
        <v>10</v>
      </c>
      <c r="I43">
        <v>20</v>
      </c>
    </row>
    <row r="44" spans="1:9" x14ac:dyDescent="0.25">
      <c r="A44" t="s">
        <v>109</v>
      </c>
      <c r="B44" t="s">
        <v>110</v>
      </c>
      <c r="C44">
        <v>2</v>
      </c>
      <c r="D44" t="s">
        <v>78</v>
      </c>
      <c r="E44" s="148">
        <f>AVERAGE(Table1[[#This Row],[PercentMin]:[PercentMax]])/100</f>
        <v>0.05</v>
      </c>
      <c r="F44">
        <v>4</v>
      </c>
      <c r="G44">
        <v>6</v>
      </c>
      <c r="H44">
        <v>10</v>
      </c>
      <c r="I44">
        <v>20</v>
      </c>
    </row>
    <row r="45" spans="1:9" x14ac:dyDescent="0.25">
      <c r="A45" t="s">
        <v>111</v>
      </c>
      <c r="B45" t="s">
        <v>110</v>
      </c>
      <c r="C45">
        <v>2</v>
      </c>
      <c r="D45" t="s">
        <v>80</v>
      </c>
      <c r="E45" s="148">
        <f>AVERAGE(Table1[[#This Row],[PercentMin]:[PercentMax]])/100</f>
        <v>0.24</v>
      </c>
      <c r="F45">
        <v>20</v>
      </c>
      <c r="G45">
        <v>28</v>
      </c>
      <c r="H45">
        <v>38</v>
      </c>
      <c r="I45">
        <v>66</v>
      </c>
    </row>
    <row r="46" spans="1:9" x14ac:dyDescent="0.25">
      <c r="A46" t="s">
        <v>112</v>
      </c>
      <c r="B46" t="s">
        <v>110</v>
      </c>
      <c r="C46">
        <v>2</v>
      </c>
      <c r="D46" t="s">
        <v>82</v>
      </c>
      <c r="E46" s="148">
        <f>AVERAGE(Table1[[#This Row],[PercentMin]:[PercentMax]])/100</f>
        <v>0.115</v>
      </c>
      <c r="F46">
        <v>9</v>
      </c>
      <c r="G46">
        <v>14</v>
      </c>
      <c r="H46">
        <v>25</v>
      </c>
      <c r="I46">
        <v>50</v>
      </c>
    </row>
    <row r="47" spans="1:9" x14ac:dyDescent="0.25">
      <c r="A47" t="s">
        <v>113</v>
      </c>
      <c r="B47" t="s">
        <v>110</v>
      </c>
      <c r="C47">
        <v>2</v>
      </c>
      <c r="D47" t="s">
        <v>84</v>
      </c>
      <c r="E47" s="148">
        <f>AVERAGE(Table1[[#This Row],[PercentMin]:[PercentMax]])/100</f>
        <v>0.1</v>
      </c>
      <c r="F47">
        <v>8</v>
      </c>
      <c r="G47">
        <v>12</v>
      </c>
      <c r="H47">
        <v>20</v>
      </c>
      <c r="I47">
        <v>40</v>
      </c>
    </row>
    <row r="48" spans="1:9" x14ac:dyDescent="0.25">
      <c r="A48" t="s">
        <v>114</v>
      </c>
      <c r="B48" t="s">
        <v>110</v>
      </c>
      <c r="C48">
        <v>2</v>
      </c>
      <c r="D48" t="s">
        <v>86</v>
      </c>
      <c r="E48" s="148">
        <f>AVERAGE(Table1[[#This Row],[PercentMin]:[PercentMax]])/100</f>
        <v>0.03</v>
      </c>
      <c r="F48">
        <v>2</v>
      </c>
      <c r="G48">
        <v>4</v>
      </c>
      <c r="H48">
        <v>5</v>
      </c>
      <c r="I48">
        <v>13</v>
      </c>
    </row>
    <row r="49" spans="1:9" x14ac:dyDescent="0.25">
      <c r="A49" t="s">
        <v>115</v>
      </c>
      <c r="B49" t="s">
        <v>110</v>
      </c>
      <c r="C49">
        <v>2</v>
      </c>
      <c r="D49" t="s">
        <v>88</v>
      </c>
      <c r="E49" s="148">
        <f>AVERAGE(Table1[[#This Row],[PercentMin]:[PercentMax]])/100</f>
        <v>3.5000000000000003E-2</v>
      </c>
      <c r="F49">
        <v>3</v>
      </c>
      <c r="G49">
        <v>4</v>
      </c>
      <c r="H49">
        <v>8</v>
      </c>
      <c r="I49">
        <v>13</v>
      </c>
    </row>
    <row r="56" spans="1:9" x14ac:dyDescent="0.25">
      <c r="H56" t="s">
        <v>224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X Q M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A V 0 D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d A x b K I p H u A 4 A A A A R A A A A E w A c A E Z v c m 1 1 b G F z L 1 N l Y 3 R p b 2 4 x L m 0 g o h g A K K A U A A A A A A A A A A A A A A A A A A A A A A A A A A A A K 0 5 N L s n M z 1 M I h t C G 1 g B Q S w E C L Q A U A A I A C A A F d A x b 6 6 s 4 S 6 U A A A D 3 A A A A E g A A A A A A A A A A A A A A A A A A A A A A Q 2 9 u Z m l n L 1 B h Y 2 t h Z 2 U u e G 1 s U E s B A i 0 A F A A C A A g A B X Q M W w / K 6 a u k A A A A 6 Q A A A B M A A A A A A A A A A A A A A A A A 8 Q A A A F t D b 2 5 0 Z W 5 0 X 1 R 5 c G V z X S 5 4 b W x Q S w E C L Q A U A A I A C A A F d A x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u k 5 D 9 Z + r 0 u u W u l e J u a P u A A A A A A C A A A A A A A Q Z g A A A A E A A C A A A A C X F d A Q c P Y C g R / d c Q D 0 J 3 I k t 5 w M X n F u B H D r c K J y Y a t X y w A A A A A O g A A A A A I A A C A A A A D K f r j S J T 5 V 5 7 Y L X w u 2 + w T K Z 7 f P M v x O c b e E + 9 J S A 4 U 8 R F A A A A A B 5 h X o k u b c J x c b M h w 1 v 9 V Z 7 M q j I Z l g H K P e s Q V f G 0 z E T M 7 C D X L G M 8 l 5 m 8 o I C e W I 5 + 8 0 r h F w d g 5 J Y 8 g S g p 4 n b i 8 + 0 T + e q u b Y O W o R H o O G L a 0 A B U A A A A C O 3 d K d o I + e Y 0 7 f 1 d Y x o S 0 J Z 3 C h e r p L + 9 A n A D Q + 3 m n + A j G 7 q O l Z 3 X A E k B H f u h 9 / D b J 1 L U J C L f 2 a r L F c 4 J t 9 4 C b 9 < / D a t a M a s h u p > 
</file>

<file path=customXml/itemProps1.xml><?xml version="1.0" encoding="utf-8"?>
<ds:datastoreItem xmlns:ds="http://schemas.openxmlformats.org/officeDocument/2006/customXml" ds:itemID="{62190E0D-1158-477B-8DB2-B444E3C257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Cost_Check</vt:lpstr>
      <vt:lpstr>Project_Cost</vt:lpstr>
      <vt:lpstr>Fee_Matrix</vt:lpstr>
      <vt:lpstr>Sheet1</vt:lpstr>
      <vt:lpstr>Phase_Billing</vt:lpstr>
      <vt:lpstr>Contract_Clauses</vt:lpstr>
      <vt:lpstr>Cost_Ranges</vt:lpstr>
      <vt:lpstr>Engineering_Costs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WESLEY LOPEZ, PE. M.Arch. BSCE.</cp:lastModifiedBy>
  <dcterms:created xsi:type="dcterms:W3CDTF">2025-07-31T21:42:54Z</dcterms:created>
  <dcterms:modified xsi:type="dcterms:W3CDTF">2025-08-18T18:41:56Z</dcterms:modified>
</cp:coreProperties>
</file>