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d037862bbfb09bd/"/>
    </mc:Choice>
  </mc:AlternateContent>
  <xr:revisionPtr revIDLastSave="61" documentId="8_{7E953060-76D2-4E09-9036-D31D691FA043}" xr6:coauthVersionLast="47" xr6:coauthVersionMax="47" xr10:uidLastSave="{1E9085B4-4707-4E26-A991-FF56A84AC82D}"/>
  <bookViews>
    <workbookView xWindow="-120" yWindow="-120" windowWidth="38640" windowHeight="21120" firstSheet="1" activeTab="1" xr2:uid="{00000000-000D-0000-FFFF-FFFF00000000}"/>
  </bookViews>
  <sheets>
    <sheet name="Cost_Check" sheetId="1" r:id="rId1"/>
    <sheet name="Final Project Cost Calculator L" sheetId="6" r:id="rId2"/>
    <sheet name="Cost_Ranges" sheetId="5" r:id="rId3"/>
    <sheet name="Engineering_Costs" sheetId="7" r:id="rId4"/>
    <sheet name="New Project Cost Calculator dum" sheetId="8" r:id="rId5"/>
    <sheet name="Sheet4" sheetId="11" r:id="rId6"/>
    <sheet name="Sheet2" sheetId="9" r:id="rId7"/>
    <sheet name="Final Project Cost Calculator " sheetId="10" r:id="rId8"/>
  </sheets>
  <definedNames>
    <definedName name="_xlnm._FilterDatabase" localSheetId="3" hidden="1">Engineering_Costs!$A$1:$I$68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6" l="1"/>
  <c r="B115" i="6"/>
  <c r="B197" i="6" l="1"/>
  <c r="B117" i="6"/>
  <c r="C85" i="6"/>
  <c r="D85" i="6" s="1"/>
  <c r="E85" i="6" s="1"/>
  <c r="B114" i="6"/>
  <c r="G107" i="6"/>
  <c r="B144" i="6"/>
  <c r="C108" i="6"/>
  <c r="C110" i="6" s="1"/>
  <c r="C109" i="6" s="1"/>
  <c r="D108" i="6"/>
  <c r="D110" i="6" s="1"/>
  <c r="D109" i="6" s="1"/>
  <c r="E108" i="6"/>
  <c r="E110" i="6" s="1"/>
  <c r="E109" i="6" s="1"/>
  <c r="F108" i="6"/>
  <c r="F110" i="6" s="1"/>
  <c r="F109" i="6" s="1"/>
  <c r="B108" i="6"/>
  <c r="B110" i="6" s="1"/>
  <c r="B109" i="6" s="1"/>
  <c r="G150" i="6"/>
  <c r="G151" i="6"/>
  <c r="G152" i="6"/>
  <c r="G153" i="6"/>
  <c r="G154" i="6"/>
  <c r="G149" i="6"/>
  <c r="C155" i="6"/>
  <c r="D155" i="6"/>
  <c r="E155" i="6"/>
  <c r="F155" i="6"/>
  <c r="B155" i="6"/>
  <c r="F103" i="6"/>
  <c r="E103" i="6"/>
  <c r="D103" i="6"/>
  <c r="C103" i="6"/>
  <c r="B103" i="6"/>
  <c r="G102" i="6"/>
  <c r="G103" i="6" s="1"/>
  <c r="C84" i="6"/>
  <c r="D84" i="6" s="1"/>
  <c r="B14" i="6"/>
  <c r="B15" i="6"/>
  <c r="E84" i="6" l="1"/>
  <c r="G108" i="6"/>
  <c r="G110" i="6" s="1"/>
  <c r="F84" i="6" s="1"/>
  <c r="G155" i="6"/>
  <c r="B116" i="6"/>
  <c r="G109" i="6" l="1"/>
  <c r="F91" i="6"/>
  <c r="F92" i="6"/>
  <c r="F94" i="6"/>
  <c r="F85" i="6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7"/>
  <c r="H21" i="7" l="1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I20" i="7"/>
  <c r="H20" i="7"/>
  <c r="B13" i="6"/>
  <c r="B27" i="6" l="1"/>
  <c r="B26" i="6"/>
  <c r="B25" i="6"/>
  <c r="B20" i="6"/>
  <c r="B21" i="6" s="1"/>
  <c r="B16" i="6"/>
  <c r="B17" i="6" s="1"/>
  <c r="K5" i="5"/>
  <c r="K7" i="5"/>
  <c r="K2" i="5"/>
  <c r="K3" i="5"/>
  <c r="K4" i="5"/>
  <c r="K8" i="5"/>
  <c r="K9" i="5"/>
  <c r="K10" i="5"/>
  <c r="K11" i="5"/>
  <c r="K12" i="5"/>
  <c r="K13" i="5"/>
  <c r="K6" i="5"/>
  <c r="D4" i="1"/>
  <c r="D3" i="1"/>
  <c r="D2" i="1"/>
  <c r="C4" i="1"/>
  <c r="C3" i="1"/>
  <c r="C2" i="1"/>
  <c r="F4" i="1" l="1"/>
  <c r="E4" i="1"/>
  <c r="F3" i="1"/>
  <c r="E3" i="1"/>
  <c r="F2" i="1"/>
  <c r="F5" i="1" s="1"/>
  <c r="E2" i="1"/>
  <c r="E5" i="1" s="1"/>
  <c r="E6" i="1" l="1"/>
  <c r="B39" i="6"/>
  <c r="C39" i="6" s="1"/>
  <c r="B40" i="6"/>
  <c r="C40" i="6" s="1"/>
  <c r="B38" i="6" l="1"/>
  <c r="B41" i="6"/>
  <c r="C41" i="6" s="1"/>
  <c r="B18" i="6"/>
  <c r="B23" i="6" s="1"/>
  <c r="B32" i="6" s="1"/>
  <c r="B52" i="6" s="1"/>
  <c r="B46" i="6"/>
  <c r="C46" i="6" s="1"/>
  <c r="B45" i="6"/>
  <c r="C45" i="6" s="1"/>
  <c r="B44" i="6"/>
  <c r="C44" i="6" s="1"/>
  <c r="B43" i="6"/>
  <c r="C43" i="6" s="1"/>
  <c r="B42" i="6"/>
  <c r="C42" i="6" s="1"/>
  <c r="C38" i="6" l="1"/>
  <c r="B49" i="6"/>
  <c r="B29" i="6"/>
  <c r="B61" i="6" s="1"/>
  <c r="B35" i="6"/>
  <c r="B55" i="6" s="1"/>
  <c r="B73" i="6"/>
  <c r="B70" i="6"/>
  <c r="B19" i="6"/>
  <c r="B24" i="6" s="1"/>
  <c r="B64" i="6" l="1"/>
  <c r="B67" i="6"/>
  <c r="B50" i="6"/>
  <c r="B22" i="6"/>
  <c r="B58" i="6"/>
  <c r="B36" i="6"/>
  <c r="B77" i="6" l="1"/>
  <c r="B33" i="6"/>
  <c r="B53" i="6" s="1"/>
  <c r="B51" i="6" s="1"/>
  <c r="B30" i="6"/>
  <c r="B48" i="6"/>
  <c r="B68" i="6"/>
  <c r="B66" i="6" s="1"/>
  <c r="B74" i="6"/>
  <c r="B72" i="6" s="1"/>
  <c r="B71" i="6"/>
  <c r="B69" i="6" s="1"/>
  <c r="B31" i="6"/>
  <c r="B34" i="6"/>
  <c r="B56" i="6"/>
  <c r="B54" i="6" s="1"/>
  <c r="B62" i="6" l="1"/>
  <c r="B60" i="6" s="1"/>
  <c r="B59" i="6"/>
  <c r="B57" i="6" s="1"/>
  <c r="B65" i="6"/>
  <c r="B63" i="6" s="1"/>
  <c r="B28" i="6"/>
  <c r="B76" i="6" l="1"/>
  <c r="B78" i="6" l="1"/>
  <c r="B93" i="6" l="1"/>
  <c r="D93" i="6" s="1"/>
  <c r="B87" i="6"/>
  <c r="D87" i="6" s="1"/>
  <c r="B88" i="6"/>
  <c r="D88" i="6" s="1"/>
  <c r="B86" i="6"/>
  <c r="D86" i="6" s="1"/>
  <c r="B92" i="6"/>
  <c r="D92" i="6" s="1"/>
  <c r="B91" i="6"/>
  <c r="D91" i="6" s="1"/>
  <c r="B94" i="6"/>
  <c r="D94" i="6" s="1"/>
  <c r="B90" i="6"/>
  <c r="D90" i="6" s="1"/>
  <c r="B89" i="6"/>
  <c r="D89" i="6" s="1"/>
  <c r="D95" i="6" l="1"/>
  <c r="C222" i="6" s="1"/>
  <c r="B123" i="6"/>
  <c r="C123" i="6" s="1"/>
  <c r="D123" i="6" s="1"/>
  <c r="C94" i="6"/>
  <c r="H94" i="6"/>
  <c r="G94" i="6" s="1"/>
  <c r="B132" i="6"/>
  <c r="C132" i="6" s="1"/>
  <c r="E132" i="6" s="1"/>
  <c r="C92" i="6"/>
  <c r="H92" i="6"/>
  <c r="G92" i="6" s="1"/>
  <c r="B130" i="6"/>
  <c r="C130" i="6" s="1"/>
  <c r="E130" i="6" s="1"/>
  <c r="E86" i="6"/>
  <c r="C86" i="6"/>
  <c r="B124" i="6"/>
  <c r="C124" i="6" s="1"/>
  <c r="D124" i="6" s="1"/>
  <c r="B122" i="6"/>
  <c r="H91" i="6"/>
  <c r="C91" i="6"/>
  <c r="B129" i="6"/>
  <c r="C129" i="6" s="1"/>
  <c r="E129" i="6" s="1"/>
  <c r="B127" i="6"/>
  <c r="C127" i="6" s="1"/>
  <c r="D127" i="6" s="1"/>
  <c r="C89" i="6"/>
  <c r="E89" i="6"/>
  <c r="F89" i="6" s="1"/>
  <c r="E90" i="6"/>
  <c r="F90" i="6" s="1"/>
  <c r="C90" i="6"/>
  <c r="B128" i="6"/>
  <c r="C128" i="6" s="1"/>
  <c r="D128" i="6" s="1"/>
  <c r="E93" i="6"/>
  <c r="F93" i="6" s="1"/>
  <c r="C93" i="6"/>
  <c r="B131" i="6"/>
  <c r="C131" i="6" s="1"/>
  <c r="D131" i="6" s="1"/>
  <c r="E87" i="6"/>
  <c r="F87" i="6" s="1"/>
  <c r="C87" i="6"/>
  <c r="B125" i="6"/>
  <c r="C125" i="6" s="1"/>
  <c r="D125" i="6" s="1"/>
  <c r="C88" i="6"/>
  <c r="E88" i="6"/>
  <c r="F88" i="6" s="1"/>
  <c r="B126" i="6"/>
  <c r="C126" i="6" s="1"/>
  <c r="D126" i="6" s="1"/>
  <c r="E133" i="6" l="1"/>
  <c r="H95" i="6"/>
  <c r="G91" i="6"/>
  <c r="G95" i="6" s="1"/>
  <c r="F86" i="6"/>
  <c r="F95" i="6" s="1"/>
  <c r="D174" i="6" s="1"/>
  <c r="E95" i="6"/>
  <c r="E174" i="6" s="1"/>
  <c r="C122" i="6"/>
  <c r="D122" i="6" s="1"/>
  <c r="D133" i="6" s="1"/>
  <c r="C139" i="6" s="1"/>
  <c r="B133" i="6"/>
  <c r="C133" i="6" s="1"/>
  <c r="B158" i="6" l="1"/>
  <c r="C158" i="6"/>
  <c r="D158" i="6"/>
  <c r="E158" i="6"/>
  <c r="F158" i="6"/>
  <c r="B174" i="6"/>
  <c r="C142" i="6"/>
  <c r="C143" i="6"/>
  <c r="C140" i="6"/>
  <c r="C141" i="6"/>
  <c r="C138" i="6"/>
  <c r="C174" i="6"/>
  <c r="D162" i="6" l="1"/>
  <c r="E162" i="6"/>
  <c r="F162" i="6"/>
  <c r="B162" i="6"/>
  <c r="C162" i="6"/>
  <c r="D159" i="6"/>
  <c r="E159" i="6"/>
  <c r="F159" i="6"/>
  <c r="C159" i="6"/>
  <c r="B159" i="6"/>
  <c r="B161" i="6"/>
  <c r="C161" i="6"/>
  <c r="F161" i="6"/>
  <c r="D161" i="6"/>
  <c r="E161" i="6"/>
  <c r="C157" i="6"/>
  <c r="D157" i="6"/>
  <c r="E157" i="6"/>
  <c r="F157" i="6"/>
  <c r="B157" i="6"/>
  <c r="C160" i="6"/>
  <c r="D160" i="6"/>
  <c r="E160" i="6"/>
  <c r="B160" i="6"/>
  <c r="F160" i="6"/>
  <c r="C144" i="6"/>
  <c r="G158" i="6"/>
  <c r="B163" i="6" l="1"/>
  <c r="G161" i="6"/>
  <c r="G162" i="6"/>
  <c r="G160" i="6"/>
  <c r="F163" i="6"/>
  <c r="C163" i="6"/>
  <c r="D163" i="6"/>
  <c r="G159" i="6"/>
  <c r="G157" i="6"/>
  <c r="E163" i="6"/>
  <c r="E175" i="6" l="1"/>
  <c r="C175" i="6" s="1"/>
  <c r="G163" i="6"/>
  <c r="C246" i="6" l="1"/>
  <c r="C245" i="6"/>
  <c r="C244" i="6"/>
  <c r="D175" i="6"/>
  <c r="E182" i="6"/>
  <c r="B182" i="6" s="1"/>
  <c r="E180" i="6"/>
  <c r="C224" i="6" s="1"/>
  <c r="B175" i="6"/>
  <c r="F175" i="6"/>
  <c r="G175" i="6" s="1"/>
  <c r="F174" i="6"/>
  <c r="G174" i="6" s="1"/>
  <c r="D182" i="6" l="1"/>
  <c r="E186" i="6"/>
  <c r="E181" i="6"/>
  <c r="E183" i="6"/>
  <c r="E185" i="6" l="1"/>
  <c r="F170" i="6" s="1"/>
  <c r="C169" i="6"/>
  <c r="E168" i="6" l="1"/>
  <c r="D170" i="6"/>
  <c r="D168" i="6"/>
  <c r="C170" i="6"/>
  <c r="F168" i="6"/>
  <c r="D166" i="6"/>
  <c r="B167" i="6"/>
  <c r="D169" i="6"/>
  <c r="E167" i="6"/>
  <c r="C166" i="6"/>
  <c r="B169" i="6"/>
  <c r="E169" i="6"/>
  <c r="B166" i="6"/>
  <c r="F166" i="6"/>
  <c r="D165" i="6"/>
  <c r="C168" i="6"/>
  <c r="C167" i="6"/>
  <c r="B170" i="6"/>
  <c r="G170" i="6" s="1"/>
  <c r="B165" i="6"/>
  <c r="F167" i="6"/>
  <c r="F169" i="6"/>
  <c r="F165" i="6"/>
  <c r="D167" i="6"/>
  <c r="E165" i="6"/>
  <c r="C165" i="6"/>
  <c r="E166" i="6"/>
  <c r="E170" i="6"/>
  <c r="B168" i="6"/>
  <c r="G166" i="6" l="1"/>
  <c r="G168" i="6"/>
  <c r="C171" i="6"/>
  <c r="G167" i="6"/>
  <c r="F171" i="6"/>
  <c r="G165" i="6"/>
  <c r="D171" i="6"/>
  <c r="B171" i="6"/>
  <c r="G169" i="6"/>
  <c r="G171" i="6" s="1"/>
  <c r="E188" i="6" s="1"/>
  <c r="E171" i="6"/>
  <c r="B209" i="6" l="1"/>
  <c r="B211" i="6"/>
  <c r="B213" i="6"/>
  <c r="C232" i="6" s="1"/>
  <c r="C241" i="6" s="1"/>
  <c r="B217" i="6"/>
  <c r="B219" i="6"/>
  <c r="B210" i="6"/>
  <c r="C229" i="6" s="1"/>
  <c r="C238" i="6" s="1"/>
  <c r="B212" i="6"/>
  <c r="C231" i="6" s="1"/>
  <c r="C240" i="6" s="1"/>
  <c r="B214" i="6"/>
  <c r="C233" i="6" s="1"/>
  <c r="B215" i="6"/>
  <c r="C234" i="6" s="1"/>
  <c r="B216" i="6"/>
  <c r="B218" i="6"/>
  <c r="C235" i="6" s="1"/>
  <c r="C226" i="6"/>
  <c r="C247" i="6" s="1"/>
  <c r="B188" i="6"/>
  <c r="C230" i="6"/>
  <c r="E187" i="6"/>
  <c r="C225" i="6" s="1"/>
  <c r="D188" i="6"/>
  <c r="C188" i="6"/>
  <c r="C239" i="6" l="1"/>
  <c r="C191" i="6"/>
  <c r="C192" i="6"/>
  <c r="C194" i="6"/>
  <c r="C196" i="6"/>
  <c r="C193" i="6"/>
  <c r="C195" i="6"/>
  <c r="D203" i="6" l="1"/>
  <c r="E203" i="6"/>
  <c r="B203" i="6"/>
  <c r="F203" i="6"/>
  <c r="C203" i="6"/>
  <c r="F202" i="6"/>
  <c r="C202" i="6"/>
  <c r="D202" i="6"/>
  <c r="E202" i="6"/>
  <c r="B202" i="6"/>
  <c r="B204" i="6"/>
  <c r="C204" i="6"/>
  <c r="F204" i="6"/>
  <c r="D204" i="6"/>
  <c r="E204" i="6"/>
  <c r="D205" i="6"/>
  <c r="F205" i="6"/>
  <c r="B205" i="6"/>
  <c r="C205" i="6"/>
  <c r="E205" i="6"/>
  <c r="D201" i="6"/>
  <c r="E201" i="6"/>
  <c r="F201" i="6"/>
  <c r="B201" i="6"/>
  <c r="C201" i="6"/>
  <c r="F200" i="6"/>
  <c r="B200" i="6"/>
  <c r="D200" i="6"/>
  <c r="C200" i="6"/>
  <c r="E200" i="6"/>
  <c r="C197" i="6"/>
  <c r="G204" i="6" l="1"/>
  <c r="G202" i="6"/>
  <c r="G205" i="6"/>
  <c r="E206" i="6"/>
  <c r="G203" i="6"/>
  <c r="D206" i="6"/>
  <c r="G200" i="6"/>
  <c r="B206" i="6"/>
  <c r="G201" i="6"/>
  <c r="C206" i="6"/>
  <c r="F206" i="6"/>
  <c r="G206" i="6" l="1"/>
</calcChain>
</file>

<file path=xl/sharedStrings.xml><?xml version="1.0" encoding="utf-8"?>
<sst xmlns="http://schemas.openxmlformats.org/spreadsheetml/2006/main" count="1530" uniqueCount="302">
  <si>
    <t>Component</t>
  </si>
  <si>
    <t>Area (sf)</t>
  </si>
  <si>
    <t>Benchmark $/sf (Low)</t>
  </si>
  <si>
    <t>Benchmark $/sf (High)</t>
  </si>
  <si>
    <t>Sub-total (Low)</t>
  </si>
  <si>
    <t>Sub-total (High)</t>
  </si>
  <si>
    <t>Conditioned interior</t>
  </si>
  <si>
    <t>Garage / workshop</t>
  </si>
  <si>
    <t>Working figure for fee calc (mid-range)</t>
  </si>
  <si>
    <t>Scope</t>
  </si>
  <si>
    <t>Landscape architecture</t>
  </si>
  <si>
    <t>Civil / site engineer</t>
  </si>
  <si>
    <t>Structural engineer</t>
  </si>
  <si>
    <t>Mechanical (HVAC, energy, pools)</t>
  </si>
  <si>
    <t>Electrical (power / lighting)</t>
  </si>
  <si>
    <t>Plumbing engineer</t>
  </si>
  <si>
    <t>Total</t>
  </si>
  <si>
    <t>Key</t>
  </si>
  <si>
    <t>Building Type</t>
  </si>
  <si>
    <t>Tier</t>
  </si>
  <si>
    <t>ShellMin</t>
  </si>
  <si>
    <t>ShellMax</t>
  </si>
  <si>
    <t>AllInMin</t>
  </si>
  <si>
    <t>AllInMax</t>
  </si>
  <si>
    <t>ArchShare</t>
  </si>
  <si>
    <t>IntShare</t>
  </si>
  <si>
    <t>LandShare</t>
  </si>
  <si>
    <t>High-End Custom Residential|1</t>
  </si>
  <si>
    <t>High-End Custom Residential</t>
  </si>
  <si>
    <t>High-End Custom Residential|2</t>
  </si>
  <si>
    <t>High-End Custom Residential|3</t>
  </si>
  <si>
    <t>Mid-Range Standard Residential|1</t>
  </si>
  <si>
    <t>Mid-Range Standard Residential</t>
  </si>
  <si>
    <t>Mid-Range Standard Residential|2</t>
  </si>
  <si>
    <t>Mid-Range Standard Residential|3</t>
  </si>
  <si>
    <t>Hospitality (Hotel/Resort)|1</t>
  </si>
  <si>
    <t>Hospitality (Hotel/Resort)</t>
  </si>
  <si>
    <t>Hospitality (Hotel/Resort)|2</t>
  </si>
  <si>
    <t>Hospitality (Hotel/Resort)|3</t>
  </si>
  <si>
    <t>Commercial / Mixed-Use|1</t>
  </si>
  <si>
    <t>Commercial / Mixed-Use</t>
  </si>
  <si>
    <t>Commercial / Mixed-Use|2</t>
  </si>
  <si>
    <t>Commercial / Mixed-Use|3</t>
  </si>
  <si>
    <t>Numeric Tier</t>
  </si>
  <si>
    <t>Category Simple</t>
  </si>
  <si>
    <t>PercentAvg</t>
  </si>
  <si>
    <t>PercentMin</t>
  </si>
  <si>
    <t>PercentMax</t>
  </si>
  <si>
    <t>CostMinPSF</t>
  </si>
  <si>
    <t>CostMaxPSF</t>
  </si>
  <si>
    <t>High-End Custom Residential|1|Civil &amp; Site</t>
  </si>
  <si>
    <t>Civil &amp; Site</t>
  </si>
  <si>
    <t>High-End Custom Residential|1|Structural</t>
  </si>
  <si>
    <t>Structural</t>
  </si>
  <si>
    <t>High-End Custom Residential|1|Mechanical</t>
  </si>
  <si>
    <t>Mechanical</t>
  </si>
  <si>
    <t>High-End Custom Residential|1|Electrical</t>
  </si>
  <si>
    <t>Electrical</t>
  </si>
  <si>
    <t>High-End Custom Residential|1|Plumbing</t>
  </si>
  <si>
    <t>Plumbing</t>
  </si>
  <si>
    <t>High-End Custom Residential|1|Low-Voltage</t>
  </si>
  <si>
    <t>Low-Voltage</t>
  </si>
  <si>
    <t>High-End Custom Residential|2|Civil &amp; Site</t>
  </si>
  <si>
    <t>High-End Custom Residential|2|Structural</t>
  </si>
  <si>
    <t>High-End Custom Residential|2|Mechanical</t>
  </si>
  <si>
    <t>High-End Custom Residential|2|Electrical</t>
  </si>
  <si>
    <t>High-End Custom Residential|2|Plumbing</t>
  </si>
  <si>
    <t>High-End Custom Residential|2|Low-Voltage</t>
  </si>
  <si>
    <t>High-End Custom Residential|3|Civil &amp; Site</t>
  </si>
  <si>
    <t>High-End Custom Residential|3|Structural</t>
  </si>
  <si>
    <t>High-End Custom Residential|3|Mechanical</t>
  </si>
  <si>
    <t>High-End Custom Residential|3|Electrical</t>
  </si>
  <si>
    <t>High-End Custom Residential|3|Plumbing</t>
  </si>
  <si>
    <t>High-End Custom Residential|3|Low-Voltage</t>
  </si>
  <si>
    <t>Mid-Range Residential</t>
  </si>
  <si>
    <t>Hospitality 4-Star|1|Civil &amp; Site</t>
  </si>
  <si>
    <t>Hospitality 4-Star</t>
  </si>
  <si>
    <t>Hospitality 4-Star|1|Structural</t>
  </si>
  <si>
    <t>Hospitality 4-Star|1|Mechanical</t>
  </si>
  <si>
    <t>Hospitality 4-Star|1|Electrical</t>
  </si>
  <si>
    <t>Hospitality 4-Star|1|Plumbing</t>
  </si>
  <si>
    <t>Hospitality 4-Star|1|Low-Voltage</t>
  </si>
  <si>
    <t>Commercial Class A|2|Civil &amp; Site</t>
  </si>
  <si>
    <t>Commercial Class A</t>
  </si>
  <si>
    <t>Commercial Class A|2|Structural</t>
  </si>
  <si>
    <t>Commercial Class A|2|Mechanical</t>
  </si>
  <si>
    <t>Commercial Class A|2|Electrical</t>
  </si>
  <si>
    <t>Commercial Class A|2|Plumbing</t>
  </si>
  <si>
    <t>Commercial Class A|2|Low-Voltage</t>
  </si>
  <si>
    <t>Architecture Budget</t>
  </si>
  <si>
    <t>Structural Budget</t>
  </si>
  <si>
    <t>Civil Budget</t>
  </si>
  <si>
    <t>Mechanical Budget</t>
  </si>
  <si>
    <t>Electrical Budget</t>
  </si>
  <si>
    <t>Plumbing Budget</t>
  </si>
  <si>
    <r>
      <t>Site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</si>
  <si>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New Building Area (ft²)</t>
  </si>
  <si>
    <t>Existing Building Area (ft²)</t>
  </si>
  <si>
    <t>III. Project Hours &amp; Leverage</t>
  </si>
  <si>
    <t>Architect</t>
  </si>
  <si>
    <t xml:space="preserve">Engineer </t>
  </si>
  <si>
    <t>Principal</t>
  </si>
  <si>
    <t>Discovery</t>
  </si>
  <si>
    <t>II. Cost &amp; Pricing-Per Hour</t>
  </si>
  <si>
    <t>Markup</t>
  </si>
  <si>
    <t>Ave Rates</t>
  </si>
  <si>
    <t>Rate -Pricing per hour</t>
  </si>
  <si>
    <t>Rate- Labor Cost per hour</t>
  </si>
  <si>
    <t>Rate -Overhead per hour</t>
  </si>
  <si>
    <t>Rate -Total Cost</t>
  </si>
  <si>
    <t>Margin</t>
  </si>
  <si>
    <t>Total Labor Cost</t>
  </si>
  <si>
    <t>Total Expenses</t>
  </si>
  <si>
    <t>Market Fee</t>
  </si>
  <si>
    <t>Architecture (Design + Consultant Admin.)</t>
  </si>
  <si>
    <t>Consultants</t>
  </si>
  <si>
    <t>Outdoor (terrace, kitchen roof, etc.)</t>
  </si>
  <si>
    <t>Indicative construction budget (ex pools, siteworks)</t>
  </si>
  <si>
    <t xml:space="preserve"> </t>
  </si>
  <si>
    <t>Mid-Range Standard Residential|1|Civil &amp; Site</t>
  </si>
  <si>
    <t>Mid-Range Standard Residential|1|Structural</t>
  </si>
  <si>
    <t>Mid-Range Standard Residential|1|Mechanical</t>
  </si>
  <si>
    <t>Mid-Range Standard Residential|1|Electrical</t>
  </si>
  <si>
    <t>Mid-Range Standard Residential|1|Plumbing</t>
  </si>
  <si>
    <t>Mid-Range Standard Residential|1|Low-Voltage</t>
  </si>
  <si>
    <t>Mid-Range Standard Residential|2|Civil &amp; Site</t>
  </si>
  <si>
    <t>Mid-Range Standard Residential|2|Structural</t>
  </si>
  <si>
    <t>Mid-Range Standard Residential|2|Mechanical</t>
  </si>
  <si>
    <t>Mid-Range Standard Residential|2|Electrical</t>
  </si>
  <si>
    <t>Mid-Range Standard Residential|2|Plumbing</t>
  </si>
  <si>
    <t>Mid-Range Standard Residential|2|Low-Voltage</t>
  </si>
  <si>
    <t>Mid-Range Standard Residential|3|Civil &amp; Site</t>
  </si>
  <si>
    <t>Mid-Range Standard Residential|3|Structural</t>
  </si>
  <si>
    <t>Mid-Range Standard Residential|3|Mechanical</t>
  </si>
  <si>
    <t>Mid-Range Standard Residential|3|Electrical</t>
  </si>
  <si>
    <t>Mid-Range Standard Residential|3|Plumbing</t>
  </si>
  <si>
    <t>Mid-Range Standard Residential|3|Low-Voltage</t>
  </si>
  <si>
    <t>Interior design</t>
  </si>
  <si>
    <t>Rate per sq-ft</t>
  </si>
  <si>
    <t>Hours</t>
  </si>
  <si>
    <t>Creative - Shematic</t>
  </si>
  <si>
    <t>Creative - Conceptual</t>
  </si>
  <si>
    <t>Creative - Preliminary</t>
  </si>
  <si>
    <t>Technical - Shematic</t>
  </si>
  <si>
    <t>Technical - Preliminary</t>
  </si>
  <si>
    <t xml:space="preserve">Total </t>
  </si>
  <si>
    <t>Project Shell  Share</t>
  </si>
  <si>
    <t>Project Interior Share</t>
  </si>
  <si>
    <t>Project Landscape Share</t>
  </si>
  <si>
    <t>Architectural Design Share</t>
  </si>
  <si>
    <t>Interior Design Share</t>
  </si>
  <si>
    <t>Landscape Design Share</t>
  </si>
  <si>
    <t>Structural Design Share</t>
  </si>
  <si>
    <t>Civil Design Share</t>
  </si>
  <si>
    <t>Mechanical Design Share</t>
  </si>
  <si>
    <t>Electrical Design Share</t>
  </si>
  <si>
    <t>Plumbing Design Share</t>
  </si>
  <si>
    <t>Telecomunication Design</t>
  </si>
  <si>
    <t>Interior Budget</t>
  </si>
  <si>
    <t>Landscape Budget</t>
  </si>
  <si>
    <t>Interior Minimum Budget</t>
  </si>
  <si>
    <t>Landscape Minimum Budget</t>
  </si>
  <si>
    <t>Telecomunication Budget</t>
  </si>
  <si>
    <t>New Construction</t>
  </si>
  <si>
    <t>Existing to Remodel</t>
  </si>
  <si>
    <t xml:space="preserve">Hidden inside - display number and graphically </t>
  </si>
  <si>
    <t xml:space="preserve">Louis Amy Quote </t>
  </si>
  <si>
    <t>Building Use</t>
  </si>
  <si>
    <t>Residential</t>
  </si>
  <si>
    <t>Residence - Private</t>
  </si>
  <si>
    <t>Building Tier</t>
  </si>
  <si>
    <t>Design Level</t>
  </si>
  <si>
    <t>Calculation Formulas</t>
  </si>
  <si>
    <t>//Reconstruction / Remodel</t>
  </si>
  <si>
    <t>Category</t>
  </si>
  <si>
    <t>Category 5</t>
  </si>
  <si>
    <t>//Drop Drown Selection filtered by Building use selection</t>
  </si>
  <si>
    <t>//Drop Drown Selection filtered by Building Type</t>
  </si>
  <si>
    <t xml:space="preserve">//Drop Drown Selection </t>
  </si>
  <si>
    <t>//Notes to AI Agent Coder</t>
  </si>
  <si>
    <t>//Calculate</t>
  </si>
  <si>
    <t>//From database to set the default // Allow Overwrite with a slider</t>
  </si>
  <si>
    <t>//display with a dounugth chart</t>
  </si>
  <si>
    <t>// Visualize data graphicaly inside a card // expand when click to reveal hidden info.</t>
  </si>
  <si>
    <t>Working Minimum Budget</t>
  </si>
  <si>
    <t>New Construction Min $/ft²</t>
  </si>
  <si>
    <t>Existing to Remodel Min $/ft²</t>
  </si>
  <si>
    <t>New Construction  Max $/ft²</t>
  </si>
  <si>
    <t>Existing to Remodel Max $/ft²</t>
  </si>
  <si>
    <t>New Construction Target $/ft²</t>
  </si>
  <si>
    <t>Existing to Remodel Target $/ft²</t>
  </si>
  <si>
    <t xml:space="preserve">// minimum end (bracket)  of slider //Fixed </t>
  </si>
  <si>
    <t xml:space="preserve">// Average by default // Allow Overwrite by moving a dot on the slider </t>
  </si>
  <si>
    <t xml:space="preserve">// Max end (bracket)  of slider //Fixed </t>
  </si>
  <si>
    <t xml:space="preserve">Total Budget </t>
  </si>
  <si>
    <t xml:space="preserve">New Construction Budget </t>
  </si>
  <si>
    <t>Existing to Remodel Budget</t>
  </si>
  <si>
    <t>Building Shell Minimum Total Budget</t>
  </si>
  <si>
    <t>New Construction Shell Minimum Total Budget</t>
  </si>
  <si>
    <t>Existing to Remodel Shell Minimum Total Budget</t>
  </si>
  <si>
    <t>New Construction Interior Minimum Total Budget</t>
  </si>
  <si>
    <t>Existing to Remodel Interior Minimum Total Budget</t>
  </si>
  <si>
    <t>New Construction Landscape Minimum Total Budget</t>
  </si>
  <si>
    <t>Existing to Remodel Landscape Minimum Total Budget</t>
  </si>
  <si>
    <t>//Card</t>
  </si>
  <si>
    <t>// Do not display</t>
  </si>
  <si>
    <t xml:space="preserve">New Construction </t>
  </si>
  <si>
    <t>Telecomunication</t>
  </si>
  <si>
    <t xml:space="preserve">// Do Not Display  // Base on Building Category </t>
  </si>
  <si>
    <t xml:space="preserve">//Hidden inside - display number and graphically </t>
  </si>
  <si>
    <t>Scan to Bim - Building</t>
  </si>
  <si>
    <t>Scan to Bim - Site</t>
  </si>
  <si>
    <t>Percent of Project Cost %</t>
  </si>
  <si>
    <t>Category Multiplier</t>
  </si>
  <si>
    <t>Historic Property Multiplier</t>
  </si>
  <si>
    <t>Selection</t>
  </si>
  <si>
    <t>Top Down Fee Analysis</t>
  </si>
  <si>
    <t>Cordination Fee</t>
  </si>
  <si>
    <t>Coordination Fee</t>
  </si>
  <si>
    <t>Aproximate Hours</t>
  </si>
  <si>
    <t>Designer 1</t>
  </si>
  <si>
    <t>Designer 2</t>
  </si>
  <si>
    <t>I. Buttom Up Fee Analysis</t>
  </si>
  <si>
    <t xml:space="preserve">Rate </t>
  </si>
  <si>
    <t>Team Member</t>
  </si>
  <si>
    <t>Scope Share Percentage</t>
  </si>
  <si>
    <t>Project Hours by Phases</t>
  </si>
  <si>
    <t>Designer 1 Leverage</t>
  </si>
  <si>
    <t>Designer 2 Leverage</t>
  </si>
  <si>
    <t>Architect Leverage</t>
  </si>
  <si>
    <t>Engineer Leverage</t>
  </si>
  <si>
    <t>Principal Leverage</t>
  </si>
  <si>
    <t>Designer 1 Hours</t>
  </si>
  <si>
    <t>Designer 2 Hours</t>
  </si>
  <si>
    <t>Architect Hours</t>
  </si>
  <si>
    <t>Engineer Hours</t>
  </si>
  <si>
    <t>Principal Hours</t>
  </si>
  <si>
    <t>New CostructionHours Factor</t>
  </si>
  <si>
    <t>Existing to Remodel  Hours Factor</t>
  </si>
  <si>
    <t>//Hide Do not show</t>
  </si>
  <si>
    <t xml:space="preserve">Hours by Louis Amy </t>
  </si>
  <si>
    <t>Hours Out of Scope</t>
  </si>
  <si>
    <t>Leverage % Per Employees</t>
  </si>
  <si>
    <t>Total Hours Per Employees</t>
  </si>
  <si>
    <t>Verification</t>
  </si>
  <si>
    <t>Percentage Sum Product</t>
  </si>
  <si>
    <t>Project Fees</t>
  </si>
  <si>
    <t>New Costruction Total Hours All-In</t>
  </si>
  <si>
    <t>Existing to Remodel Total Hours All-In</t>
  </si>
  <si>
    <t>Sanity Check</t>
  </si>
  <si>
    <t>Top Down Summary</t>
  </si>
  <si>
    <t>Louis Amy Market Fee</t>
  </si>
  <si>
    <t>Market Rate Per (ft²)</t>
  </si>
  <si>
    <t>Market Total Hours</t>
  </si>
  <si>
    <t>Multipliers</t>
  </si>
  <si>
    <t>Remodel Multiplier</t>
  </si>
  <si>
    <t>Market % of Construction</t>
  </si>
  <si>
    <t xml:space="preserve">Bottom Up Summary </t>
  </si>
  <si>
    <t>//Map Category by previous selections // Category 1 = 0.9 // Category 2 = 1.0 // Category 3 =1.1 // Category 4 = 1.2 // Category 5 = 1.3</t>
  </si>
  <si>
    <t>//New Construction</t>
  </si>
  <si>
    <t>//Use Site Area for Scan to Bim calculation</t>
  </si>
  <si>
    <t>//display with a dougnuth chart</t>
  </si>
  <si>
    <t>Percent Diference</t>
  </si>
  <si>
    <t>Diference</t>
  </si>
  <si>
    <t>New construction Leverage</t>
  </si>
  <si>
    <t>Existing to Remodel Leverage</t>
  </si>
  <si>
    <t xml:space="preserve">Market Price </t>
  </si>
  <si>
    <t>Discounted Final Price</t>
  </si>
  <si>
    <t>Applied Discount %</t>
  </si>
  <si>
    <t>Contract Price</t>
  </si>
  <si>
    <t>Maximum Discount</t>
  </si>
  <si>
    <t>Discount Manual Overwrite</t>
  </si>
  <si>
    <t>Discount Selection</t>
  </si>
  <si>
    <t>Hours Rebalance by Phases</t>
  </si>
  <si>
    <t>Rebalanced Hours Per Employees</t>
  </si>
  <si>
    <t>//Map "Design Level" equals to " Tier  (1,2,3)" // 1=Basic Design // 2=Standard Design // 3=Full Design // map this to the databbase "cost_ranges" this afect construction cost and interior exterior and shell shares</t>
  </si>
  <si>
    <t>Site Area (m2)</t>
  </si>
  <si>
    <t xml:space="preserve">Fee Breakdown </t>
  </si>
  <si>
    <t>Building Shell</t>
  </si>
  <si>
    <t>Interior</t>
  </si>
  <si>
    <t>Landscape</t>
  </si>
  <si>
    <t xml:space="preserve">Laser Scan </t>
  </si>
  <si>
    <t>Architecture</t>
  </si>
  <si>
    <t xml:space="preserve">Mechanical </t>
  </si>
  <si>
    <t>Full Design Market</t>
  </si>
  <si>
    <t>In-house Discounted</t>
  </si>
  <si>
    <t>Design Services Summary</t>
  </si>
  <si>
    <t>Sumary of  In-house services Selected</t>
  </si>
  <si>
    <t>In-house Market Price</t>
  </si>
  <si>
    <t>Amount Discounted</t>
  </si>
  <si>
    <t>summary</t>
  </si>
  <si>
    <t xml:space="preserve">Labor cost </t>
  </si>
  <si>
    <t>Overhead Cost</t>
  </si>
  <si>
    <t>Total Working Hours</t>
  </si>
  <si>
    <t>Profit</t>
  </si>
  <si>
    <t>In-house Louis Amy  Market Price</t>
  </si>
  <si>
    <t xml:space="preserve">Applied Discount </t>
  </si>
  <si>
    <t>// 3 column table</t>
  </si>
  <si>
    <t>//next find a 8 column table</t>
  </si>
  <si>
    <t>//next find a 7 column table</t>
  </si>
  <si>
    <t>//next find a 3 column table</t>
  </si>
  <si>
    <t>//next find a 5 column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</si>
</sst>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44" fontId="0" fillId="0" borderId="0" xfId="2" applyFont="1"/>
    <xf numFmtId="44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44" fontId="3" fillId="0" borderId="0" xfId="0" applyNumberFormat="1" applyFont="1"/>
    <xf numFmtId="44" fontId="3" fillId="0" borderId="0" xfId="2" applyFont="1"/>
    <xf numFmtId="43" fontId="0" fillId="0" borderId="0" xfId="1" applyFont="1"/>
    <xf numFmtId="43" fontId="3" fillId="0" borderId="0" xfId="1" applyFont="1"/>
    <xf numFmtId="0" fontId="7" fillId="0" borderId="0" xfId="0" applyFont="1" applyAlignment="1">
      <alignment horizontal="left"/>
    </xf>
    <xf numFmtId="0" fontId="6" fillId="0" borderId="0" xfId="0" applyFont="1"/>
    <xf numFmtId="164" fontId="0" fillId="0" borderId="0" xfId="0" applyNumberForma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3" fontId="0" fillId="0" borderId="0" xfId="0" applyNumberFormat="1"/>
    <xf numFmtId="44" fontId="9" fillId="0" borderId="0" xfId="0" applyNumberFormat="1" applyFont="1"/>
    <xf numFmtId="9" fontId="3" fillId="0" borderId="0" xfId="3" applyFont="1"/>
    <xf numFmtId="0" fontId="1" fillId="0" borderId="0" xfId="3" applyNumberFormat="1" applyFont="1"/>
    <xf numFmtId="0" fontId="0" fillId="0" borderId="0" xfId="3" applyNumberFormat="1" applyFont="1"/>
    <xf numFmtId="165" fontId="0" fillId="0" borderId="0" xfId="3" applyNumberFormat="1" applyFont="1"/>
    <xf numFmtId="0" fontId="10" fillId="0" borderId="0" xfId="0" applyFont="1"/>
    <xf numFmtId="9" fontId="0" fillId="0" borderId="0" xfId="3" applyFont="1" applyAlignment="1">
      <alignment wrapText="1"/>
    </xf>
    <xf numFmtId="9" fontId="3" fillId="0" borderId="0" xfId="0" applyNumberFormat="1" applyFont="1"/>
    <xf numFmtId="0" fontId="1" fillId="0" borderId="0" xfId="0" applyFont="1" applyAlignment="1">
      <alignment horizontal="center" wrapText="1"/>
    </xf>
    <xf numFmtId="44" fontId="7" fillId="0" borderId="0" xfId="2" applyFont="1" applyAlignment="1">
      <alignment horizontal="left" vertical="center"/>
    </xf>
    <xf numFmtId="164" fontId="0" fillId="0" borderId="0" xfId="1" applyNumberFormat="1" applyFont="1"/>
    <xf numFmtId="0" fontId="3" fillId="0" borderId="0" xfId="0" applyFont="1" applyAlignment="1">
      <alignment wrapText="1"/>
    </xf>
    <xf numFmtId="9" fontId="0" fillId="0" borderId="0" xfId="0" applyNumberFormat="1" applyAlignment="1">
      <alignment wrapText="1"/>
    </xf>
    <xf numFmtId="44" fontId="3" fillId="0" borderId="0" xfId="2" applyFont="1" applyAlignment="1">
      <alignment wrapText="1"/>
    </xf>
    <xf numFmtId="43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43" fontId="3" fillId="0" borderId="0" xfId="0" applyNumberFormat="1" applyFont="1"/>
    <xf numFmtId="167" fontId="3" fillId="0" borderId="0" xfId="2" applyNumberFormat="1" applyFont="1"/>
    <xf numFmtId="167" fontId="3" fillId="0" borderId="0" xfId="2" applyNumberFormat="1" applyFont="1" applyAlignment="1">
      <alignment wrapText="1"/>
    </xf>
    <xf numFmtId="167" fontId="0" fillId="0" borderId="0" xfId="2" applyNumberFormat="1" applyFont="1" applyAlignment="1">
      <alignment horizontal="left"/>
    </xf>
    <xf numFmtId="167" fontId="0" fillId="0" borderId="0" xfId="2" applyNumberFormat="1" applyFont="1" applyAlignment="1">
      <alignment horizontal="left" wrapText="1"/>
    </xf>
    <xf numFmtId="167" fontId="0" fillId="0" borderId="0" xfId="2" applyNumberFormat="1" applyFont="1"/>
    <xf numFmtId="167" fontId="0" fillId="0" borderId="0" xfId="0" applyNumberFormat="1"/>
    <xf numFmtId="166" fontId="0" fillId="0" borderId="0" xfId="2" applyNumberFormat="1" applyFont="1" applyAlignment="1">
      <alignment wrapText="1"/>
    </xf>
    <xf numFmtId="167" fontId="0" fillId="0" borderId="0" xfId="2" applyNumberFormat="1" applyFont="1" applyAlignment="1">
      <alignment wrapText="1"/>
    </xf>
    <xf numFmtId="0" fontId="4" fillId="0" borderId="0" xfId="0" applyFont="1" applyAlignment="1">
      <alignment horizontal="center"/>
    </xf>
    <xf numFmtId="167" fontId="3" fillId="0" borderId="0" xfId="0" applyNumberFormat="1" applyFont="1"/>
    <xf numFmtId="44" fontId="3" fillId="0" borderId="1" xfId="0" applyNumberFormat="1" applyFont="1" applyBorder="1"/>
    <xf numFmtId="167" fontId="3" fillId="0" borderId="1" xfId="2" applyNumberFormat="1" applyFont="1" applyBorder="1"/>
    <xf numFmtId="164" fontId="3" fillId="0" borderId="1" xfId="1" applyNumberFormat="1" applyFont="1" applyBorder="1"/>
    <xf numFmtId="164" fontId="3" fillId="0" borderId="1" xfId="0" applyNumberFormat="1" applyFont="1" applyBorder="1"/>
    <xf numFmtId="9" fontId="2" fillId="0" borderId="0" xfId="3" applyFont="1"/>
    <xf numFmtId="0" fontId="3" fillId="0" borderId="2" xfId="0" applyFont="1" applyBorder="1"/>
    <xf numFmtId="164" fontId="0" fillId="0" borderId="0" xfId="0" applyNumberFormat="1" applyAlignment="1">
      <alignment wrapText="1"/>
    </xf>
    <xf numFmtId="9" fontId="0" fillId="0" borderId="3" xfId="3" applyFont="1" applyBorder="1"/>
    <xf numFmtId="44" fontId="0" fillId="0" borderId="3" xfId="2" applyFont="1" applyBorder="1"/>
    <xf numFmtId="164" fontId="0" fillId="0" borderId="3" xfId="0" applyNumberFormat="1" applyBorder="1" applyAlignment="1">
      <alignment wrapText="1"/>
    </xf>
    <xf numFmtId="0" fontId="0" fillId="0" borderId="2" xfId="0" applyBorder="1"/>
    <xf numFmtId="9" fontId="0" fillId="0" borderId="3" xfId="0" applyNumberFormat="1" applyBorder="1"/>
    <xf numFmtId="0" fontId="0" fillId="0" borderId="3" xfId="0" applyBorder="1"/>
    <xf numFmtId="0" fontId="0" fillId="0" borderId="4" xfId="0" applyBorder="1"/>
    <xf numFmtId="167" fontId="8" fillId="0" borderId="4" xfId="0" applyNumberFormat="1" applyFont="1" applyBorder="1"/>
    <xf numFmtId="164" fontId="8" fillId="0" borderId="3" xfId="0" applyNumberFormat="1" applyFont="1" applyBorder="1" applyAlignment="1">
      <alignment wrapText="1"/>
    </xf>
    <xf numFmtId="9" fontId="0" fillId="0" borderId="0" xfId="3" applyFont="1" applyAlignment="1"/>
    <xf numFmtId="166" fontId="0" fillId="0" borderId="0" xfId="0" applyNumberFormat="1"/>
    <xf numFmtId="44" fontId="0" fillId="0" borderId="0" xfId="2" applyFont="1" applyAlignment="1">
      <alignment wrapText="1"/>
    </xf>
    <xf numFmtId="44" fontId="0" fillId="0" borderId="0" xfId="0" applyNumberFormat="1" applyAlignment="1">
      <alignment wrapText="1"/>
    </xf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43" fontId="3" fillId="0" borderId="2" xfId="0" applyNumberFormat="1" applyFont="1" applyBorder="1"/>
    <xf numFmtId="43" fontId="3" fillId="0" borderId="3" xfId="0" applyNumberFormat="1" applyFont="1" applyBorder="1"/>
    <xf numFmtId="43" fontId="3" fillId="0" borderId="4" xfId="0" applyNumberFormat="1" applyFont="1" applyBorder="1"/>
    <xf numFmtId="44" fontId="0" fillId="0" borderId="0" xfId="2" applyFon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133350</xdr:rowOff>
    </xdr:from>
    <xdr:to>
      <xdr:col>23</xdr:col>
      <xdr:colOff>573436</xdr:colOff>
      <xdr:row>47</xdr:row>
      <xdr:rowOff>29757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877F2-3C1B-49FC-A2A8-31620780C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4350"/>
          <a:ext cx="13870336" cy="84689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12DA3-D2C8-41C9-BF85-37B1DE87025B}" name="Table1" displayName="Table1" ref="A1:I55" totalsRowShown="0" headerRowDxfId="3">
  <tableColumns count="9">
    <tableColumn id="1" xr3:uid="{515BD3BF-ED66-4BA8-AB07-5FE7D6B4ACF2}" name="Key"/>
    <tableColumn id="2" xr3:uid="{48BC3F54-0A44-4B9F-BAB4-0B19B2A2AFF0}" name="Building Type"/>
    <tableColumn id="3" xr3:uid="{BD022B9D-47EB-4259-BED5-DCEAAEA249BE}" name="Numeric Tier"/>
    <tableColumn id="4" xr3:uid="{D9A9F198-4F2C-4E47-87F1-1B2640BB786A}" name="Category Simple"/>
    <tableColumn id="5" xr3:uid="{48EE0C0B-05B7-4371-9D28-C5B1A089241F}" name="PercentAvg" dataDxfId="2" dataCellStyle="Percent"/>
    <tableColumn id="6" xr3:uid="{30D24E1F-9390-492F-BACF-2A8F3D5C8D5D}" name="PercentMin" dataDxfId="1"/>
    <tableColumn id="7" xr3:uid="{C1EB0996-A2A8-4952-BC49-7EA10D4FBC0B}" name="PercentMax" dataDxfId="0"/>
    <tableColumn id="8" xr3:uid="{35B2FB83-346A-4EAA-887B-8BACA2AF9612}" name="CostMinPSF"/>
    <tableColumn id="9" xr3:uid="{91E4C065-45EB-4AC8-838D-F90EFDDB91BD}" name="CostMaxP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23" sqref="A23"/>
    </sheetView>
  </sheetViews>
  <sheetFormatPr defaultRowHeight="15" x14ac:dyDescent="0.25"/>
  <cols>
    <col min="1" max="1" width="49" customWidth="1"/>
    <col min="2" max="2" width="15" customWidth="1"/>
    <col min="3" max="3" width="21.28515625" customWidth="1"/>
    <col min="4" max="4" width="20" customWidth="1"/>
    <col min="5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12">
        <v>3697</v>
      </c>
      <c r="C2" s="4">
        <f>$C$6*0.65</f>
        <v>195</v>
      </c>
      <c r="D2" s="4">
        <f>$D$6*0.65</f>
        <v>260</v>
      </c>
      <c r="E2" s="4">
        <f>B2*C2</f>
        <v>720915</v>
      </c>
      <c r="F2" s="4">
        <f>B2*D2</f>
        <v>961220</v>
      </c>
    </row>
    <row r="3" spans="1:6" x14ac:dyDescent="0.25">
      <c r="A3" t="s">
        <v>7</v>
      </c>
      <c r="B3" s="12">
        <v>1050</v>
      </c>
      <c r="C3" s="4">
        <f>$C$6*0.25</f>
        <v>75</v>
      </c>
      <c r="D3" s="4">
        <f>$D$6*0.25</f>
        <v>100</v>
      </c>
      <c r="E3" s="4">
        <f>B3*C3</f>
        <v>78750</v>
      </c>
      <c r="F3" s="4">
        <f>B3*D3</f>
        <v>105000</v>
      </c>
    </row>
    <row r="4" spans="1:6" x14ac:dyDescent="0.25">
      <c r="A4" t="s">
        <v>116</v>
      </c>
      <c r="B4" s="12">
        <v>1401</v>
      </c>
      <c r="C4" s="4">
        <f>$C$6*0.1</f>
        <v>30</v>
      </c>
      <c r="D4" s="4">
        <f>$D$6*0.1</f>
        <v>40</v>
      </c>
      <c r="E4" s="4">
        <f>B4*C4</f>
        <v>42030</v>
      </c>
      <c r="F4" s="4">
        <f>B4*D4</f>
        <v>56040</v>
      </c>
    </row>
    <row r="5" spans="1:6" x14ac:dyDescent="0.25">
      <c r="A5" t="s">
        <v>117</v>
      </c>
      <c r="E5" s="11">
        <f>SUM(E2:E4)</f>
        <v>841695</v>
      </c>
      <c r="F5" s="11">
        <f>SUM(F2:F4)</f>
        <v>1122260</v>
      </c>
    </row>
    <row r="6" spans="1:6" x14ac:dyDescent="0.25">
      <c r="A6" t="s">
        <v>8</v>
      </c>
      <c r="C6" s="4">
        <v>300</v>
      </c>
      <c r="D6" s="4">
        <v>400</v>
      </c>
      <c r="E6" s="73">
        <f>AVERAGE(E5,F5)</f>
        <v>981977.5</v>
      </c>
      <c r="F6" s="73"/>
    </row>
    <row r="8" spans="1:6" x14ac:dyDescent="0.25">
      <c r="B8" s="19"/>
    </row>
    <row r="9" spans="1:6" x14ac:dyDescent="0.25">
      <c r="B9" s="19"/>
    </row>
  </sheetData>
  <mergeCells count="1">
    <mergeCell ref="E6:F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47"/>
  <sheetViews>
    <sheetView tabSelected="1" zoomScale="85" zoomScaleNormal="85" workbookViewId="0">
      <pane ySplit="9" topLeftCell="A10" activePane="bottomLeft" state="frozen"/>
      <selection pane="bottomLeft" activeCell="A221" sqref="A221"/>
    </sheetView>
  </sheetViews>
  <sheetFormatPr defaultRowHeight="15" x14ac:dyDescent="0.25"/>
  <cols>
    <col min="1" max="1" width="49.28515625" customWidth="1"/>
    <col min="2" max="2" width="37.5703125" customWidth="1"/>
    <col min="3" max="3" width="89.42578125" style="8" customWidth="1"/>
    <col min="4" max="4" width="89.42578125" customWidth="1"/>
    <col min="5" max="5" width="18.5703125" customWidth="1"/>
    <col min="6" max="6" width="17.28515625" customWidth="1"/>
    <col min="7" max="7" width="22.85546875" customWidth="1"/>
    <col min="8" max="8" width="14.140625" customWidth="1"/>
    <col min="10" max="10" width="10" bestFit="1" customWidth="1"/>
    <col min="12" max="12" width="11.5703125" bestFit="1" customWidth="1"/>
    <col min="14" max="14" width="11.5703125" bestFit="1" customWidth="1"/>
  </cols>
  <sheetData>
    <row r="1" spans="1:4" x14ac:dyDescent="0.25">
      <c r="A1" s="2" t="s">
        <v>166</v>
      </c>
      <c r="B1" t="s">
        <v>172</v>
      </c>
      <c r="C1" t="s">
        <v>179</v>
      </c>
    </row>
    <row r="2" spans="1:4" x14ac:dyDescent="0.25">
      <c r="A2" s="9" t="s">
        <v>167</v>
      </c>
      <c r="B2" t="s">
        <v>168</v>
      </c>
      <c r="C2" t="s">
        <v>178</v>
      </c>
    </row>
    <row r="3" spans="1:4" x14ac:dyDescent="0.25">
      <c r="A3" s="2" t="s">
        <v>18</v>
      </c>
      <c r="B3" t="s">
        <v>169</v>
      </c>
      <c r="C3" t="s">
        <v>177</v>
      </c>
    </row>
    <row r="4" spans="1:4" x14ac:dyDescent="0.25">
      <c r="A4" s="2" t="s">
        <v>170</v>
      </c>
      <c r="B4" t="s">
        <v>32</v>
      </c>
      <c r="C4" t="s">
        <v>176</v>
      </c>
    </row>
    <row r="5" spans="1:4" x14ac:dyDescent="0.25">
      <c r="A5" s="2" t="s">
        <v>174</v>
      </c>
      <c r="B5" t="s">
        <v>175</v>
      </c>
      <c r="C5" t="s">
        <v>258</v>
      </c>
    </row>
    <row r="6" spans="1:4" x14ac:dyDescent="0.25">
      <c r="A6" s="2" t="s">
        <v>171</v>
      </c>
      <c r="B6">
        <v>3</v>
      </c>
      <c r="C6" t="s">
        <v>275</v>
      </c>
    </row>
    <row r="7" spans="1:4" x14ac:dyDescent="0.25">
      <c r="A7" s="2" t="s">
        <v>96</v>
      </c>
      <c r="B7" s="12">
        <v>2000</v>
      </c>
      <c r="C7" s="8" t="s">
        <v>259</v>
      </c>
    </row>
    <row r="8" spans="1:4" x14ac:dyDescent="0.25">
      <c r="A8" s="9" t="s">
        <v>97</v>
      </c>
      <c r="B8" s="12">
        <v>2000</v>
      </c>
      <c r="C8" s="8" t="s">
        <v>173</v>
      </c>
    </row>
    <row r="9" spans="1:4" ht="17.25" x14ac:dyDescent="0.25">
      <c r="A9" s="9" t="s">
        <v>95</v>
      </c>
      <c r="B9" s="12">
        <v>972</v>
      </c>
      <c r="C9" s="8" t="s">
        <v>260</v>
      </c>
    </row>
    <row r="10" spans="1:4" x14ac:dyDescent="0.25">
      <c r="A10" s="9" t="s">
        <v>254</v>
      </c>
      <c r="B10" t="s">
        <v>215</v>
      </c>
    </row>
    <row r="11" spans="1:4" x14ac:dyDescent="0.25">
      <c r="A11" s="2" t="s">
        <v>214</v>
      </c>
      <c r="B11">
        <v>1</v>
      </c>
      <c r="C11" s="8">
        <v>1</v>
      </c>
      <c r="D11">
        <v>1.2</v>
      </c>
    </row>
    <row r="12" spans="1:4" ht="15" customHeight="1" x14ac:dyDescent="0.25">
      <c r="A12" s="2" t="s">
        <v>255</v>
      </c>
      <c r="B12">
        <v>0.5</v>
      </c>
    </row>
    <row r="13" spans="1:4" x14ac:dyDescent="0.25">
      <c r="A13" s="2" t="s">
        <v>17</v>
      </c>
      <c r="B13" t="str">
        <f>B4 &amp; "|" &amp; B6</f>
        <v>Mid-Range Standard Residential|3</v>
      </c>
      <c r="C13" t="s">
        <v>205</v>
      </c>
    </row>
    <row r="14" spans="1:4" x14ac:dyDescent="0.25">
      <c r="A14" s="2" t="s">
        <v>206</v>
      </c>
      <c r="B14" s="3">
        <f>B7/(B7+B8)</f>
        <v>0.5</v>
      </c>
      <c r="C14" t="s">
        <v>182</v>
      </c>
    </row>
    <row r="15" spans="1:4" x14ac:dyDescent="0.25">
      <c r="A15" s="2" t="s">
        <v>164</v>
      </c>
      <c r="B15" s="3">
        <f>B8/(B7+B8)</f>
        <v>0.5</v>
      </c>
      <c r="C15" t="s">
        <v>261</v>
      </c>
    </row>
    <row r="16" spans="1:4" x14ac:dyDescent="0.25">
      <c r="A16" s="2" t="s">
        <v>185</v>
      </c>
      <c r="B16" s="4">
        <f>VLOOKUP(B13, Cost_Ranges!$A$2:$K$13,6,FALSE)*B11</f>
        <v>380</v>
      </c>
      <c r="C16" t="s">
        <v>191</v>
      </c>
    </row>
    <row r="17" spans="1:3" x14ac:dyDescent="0.25">
      <c r="A17" s="2" t="s">
        <v>186</v>
      </c>
      <c r="B17" s="4">
        <f>B16*B12</f>
        <v>190</v>
      </c>
      <c r="C17" t="s">
        <v>191</v>
      </c>
    </row>
    <row r="18" spans="1:3" x14ac:dyDescent="0.25">
      <c r="A18" s="2" t="s">
        <v>189</v>
      </c>
      <c r="B18" s="5">
        <f>(B16+B20)/2</f>
        <v>390</v>
      </c>
      <c r="C18" t="s">
        <v>192</v>
      </c>
    </row>
    <row r="19" spans="1:3" x14ac:dyDescent="0.25">
      <c r="A19" s="2" t="s">
        <v>190</v>
      </c>
      <c r="B19" s="5">
        <f>(B17+B21)/2</f>
        <v>195</v>
      </c>
      <c r="C19" t="s">
        <v>192</v>
      </c>
    </row>
    <row r="20" spans="1:3" x14ac:dyDescent="0.25">
      <c r="A20" s="2" t="s">
        <v>187</v>
      </c>
      <c r="B20" s="4">
        <f>VLOOKUP(B13, Cost_Ranges!$A$2:$K$13,7,FALSE)*B11</f>
        <v>400</v>
      </c>
      <c r="C20" t="s">
        <v>193</v>
      </c>
    </row>
    <row r="21" spans="1:3" x14ac:dyDescent="0.25">
      <c r="A21" s="9" t="s">
        <v>188</v>
      </c>
      <c r="B21" s="4">
        <f>B20*B12</f>
        <v>200</v>
      </c>
      <c r="C21" t="s">
        <v>193</v>
      </c>
    </row>
    <row r="22" spans="1:3" x14ac:dyDescent="0.25">
      <c r="A22" s="2" t="s">
        <v>194</v>
      </c>
      <c r="B22" s="11">
        <f>B23+B24</f>
        <v>1170000</v>
      </c>
      <c r="C22" s="31" t="s">
        <v>180</v>
      </c>
    </row>
    <row r="23" spans="1:3" x14ac:dyDescent="0.25">
      <c r="A23" s="2" t="s">
        <v>195</v>
      </c>
      <c r="B23" s="4">
        <f>(B7) * B18</f>
        <v>780000</v>
      </c>
    </row>
    <row r="24" spans="1:3" x14ac:dyDescent="0.25">
      <c r="A24" s="2" t="s">
        <v>196</v>
      </c>
      <c r="B24" s="4">
        <f>(B8) * B19</f>
        <v>390000</v>
      </c>
    </row>
    <row r="25" spans="1:3" x14ac:dyDescent="0.25">
      <c r="A25" s="2" t="s">
        <v>146</v>
      </c>
      <c r="B25" s="3">
        <f>VLOOKUP(B13, Cost_Ranges!$A$2:$K$13,8,FALSE)</f>
        <v>0.66</v>
      </c>
      <c r="C25" t="s">
        <v>181</v>
      </c>
    </row>
    <row r="26" spans="1:3" x14ac:dyDescent="0.25">
      <c r="A26" s="2" t="s">
        <v>147</v>
      </c>
      <c r="B26" s="3">
        <f>VLOOKUP(B13, Cost_Ranges!$A$2:$K$13,9,FALSE)</f>
        <v>0.22</v>
      </c>
      <c r="C26" t="s">
        <v>181</v>
      </c>
    </row>
    <row r="27" spans="1:3" x14ac:dyDescent="0.25">
      <c r="A27" s="2" t="s">
        <v>148</v>
      </c>
      <c r="B27" s="3">
        <f>VLOOKUP(B13, Cost_Ranges!$A$2:$K$13,10,FALSE)</f>
        <v>0.12</v>
      </c>
      <c r="C27" t="s">
        <v>181</v>
      </c>
    </row>
    <row r="28" spans="1:3" x14ac:dyDescent="0.25">
      <c r="A28" s="2" t="s">
        <v>197</v>
      </c>
      <c r="B28" s="11">
        <f>B29+B30</f>
        <v>772200</v>
      </c>
      <c r="C28" t="s">
        <v>204</v>
      </c>
    </row>
    <row r="29" spans="1:3" x14ac:dyDescent="0.25">
      <c r="A29" s="2" t="s">
        <v>198</v>
      </c>
      <c r="B29" s="4">
        <f>B23 * B25</f>
        <v>514800</v>
      </c>
      <c r="C29" s="63" t="s">
        <v>165</v>
      </c>
    </row>
    <row r="30" spans="1:3" x14ac:dyDescent="0.25">
      <c r="A30" s="2" t="s">
        <v>199</v>
      </c>
      <c r="B30" s="4">
        <f>B24 * B25</f>
        <v>257400</v>
      </c>
      <c r="C30" s="63" t="s">
        <v>165</v>
      </c>
    </row>
    <row r="31" spans="1:3" x14ac:dyDescent="0.25">
      <c r="A31" s="2" t="s">
        <v>160</v>
      </c>
      <c r="B31" s="11">
        <f>B32+B33</f>
        <v>257400</v>
      </c>
      <c r="C31" t="s">
        <v>204</v>
      </c>
    </row>
    <row r="32" spans="1:3" x14ac:dyDescent="0.25">
      <c r="A32" s="2" t="s">
        <v>200</v>
      </c>
      <c r="B32" s="4">
        <f>B23*B26</f>
        <v>171600</v>
      </c>
      <c r="C32" s="63" t="s">
        <v>165</v>
      </c>
    </row>
    <row r="33" spans="1:4" x14ac:dyDescent="0.25">
      <c r="A33" s="2" t="s">
        <v>201</v>
      </c>
      <c r="B33" s="4">
        <f>B24*B26</f>
        <v>85800</v>
      </c>
      <c r="C33" s="63" t="s">
        <v>165</v>
      </c>
    </row>
    <row r="34" spans="1:4" x14ac:dyDescent="0.25">
      <c r="A34" s="2" t="s">
        <v>161</v>
      </c>
      <c r="B34" s="11">
        <f>B35+B36</f>
        <v>140400</v>
      </c>
      <c r="C34" t="s">
        <v>204</v>
      </c>
    </row>
    <row r="35" spans="1:4" x14ac:dyDescent="0.25">
      <c r="A35" s="2" t="s">
        <v>202</v>
      </c>
      <c r="B35" s="4">
        <f>B23*B27</f>
        <v>93600</v>
      </c>
      <c r="C35" s="63" t="s">
        <v>165</v>
      </c>
    </row>
    <row r="36" spans="1:4" x14ac:dyDescent="0.25">
      <c r="A36" s="2" t="s">
        <v>203</v>
      </c>
      <c r="B36" s="4">
        <f>B24*B27</f>
        <v>46800</v>
      </c>
      <c r="C36" s="63" t="s">
        <v>165</v>
      </c>
    </row>
    <row r="37" spans="1:4" x14ac:dyDescent="0.25">
      <c r="A37" s="2" t="s">
        <v>297</v>
      </c>
      <c r="B37" s="9" t="s">
        <v>264</v>
      </c>
      <c r="C37" s="31" t="s">
        <v>265</v>
      </c>
    </row>
    <row r="38" spans="1:4" ht="31.5" customHeight="1" x14ac:dyDescent="0.25">
      <c r="A38" s="2" t="s">
        <v>149</v>
      </c>
      <c r="B38" s="26">
        <f>(1-(IFERROR(VLOOKUP($B$4 &amp; "|" &amp; $B$6 &amp; "|" &amp; "Structural", Engineering_Costs!$A$2:$I$55, 5, FALSE), 0)+IFERROR(VLOOKUP($B$4 &amp; "|" &amp; $B$6 &amp; "|" &amp; "Civil &amp; Site", Engineering_Costs!$A$2:$I$55, 5, FALSE), 0)+IFERROR(VLOOKUP($B$4 &amp; "|" &amp; $B$6 &amp; "|" &amp; "Mechanical", Engineering_Costs!$A$2:$I$55, 5, FALSE), 0)+IFERROR(VLOOKUP($B$4 &amp; "|" &amp; $B$6 &amp; "|" &amp; "Electrical", Engineering_Costs!$A$2:$I$55, 5, FALSE), 0)+IFERROR(VLOOKUP($B$4 &amp; "|" &amp; $B$6 &amp; "|" &amp; "Plumbing", Engineering_Costs!$A$2:$I$55, 5, FALSE), 0)+IFERROR(VLOOKUP($B$4 &amp; "|" &amp; $B$6 &amp; "|" &amp; "Low-Voltage", Engineering_Costs!$A$2:$I$55, 5, FALSE), 0)))*$B$25</f>
        <v>0.35310000000000002</v>
      </c>
      <c r="C38" s="32">
        <f>1-SUM(C39:C46)</f>
        <v>0.43889999999999996</v>
      </c>
    </row>
    <row r="39" spans="1:4" ht="19.5" customHeight="1" x14ac:dyDescent="0.25">
      <c r="A39" s="2" t="s">
        <v>150</v>
      </c>
      <c r="B39" s="6">
        <f>B26</f>
        <v>0.22</v>
      </c>
      <c r="C39" s="32">
        <f>B39</f>
        <v>0.22</v>
      </c>
    </row>
    <row r="40" spans="1:4" x14ac:dyDescent="0.25">
      <c r="A40" s="2" t="s">
        <v>151</v>
      </c>
      <c r="B40" s="6">
        <f>B27</f>
        <v>0.12</v>
      </c>
      <c r="C40" s="32">
        <f>B40</f>
        <v>0.12</v>
      </c>
    </row>
    <row r="41" spans="1:4" x14ac:dyDescent="0.25">
      <c r="A41" s="2" t="s">
        <v>152</v>
      </c>
      <c r="B41" s="6">
        <f xml:space="preserve"> IFERROR(VLOOKUP($B$4 &amp; "|" &amp; $B$6 &amp; "|" &amp; "Structural", Engineering_Costs!$A$2:$I$55, 5, FALSE), 0)*$B$25</f>
        <v>0.1716</v>
      </c>
      <c r="C41" s="26">
        <f>B41*B12</f>
        <v>8.5800000000000001E-2</v>
      </c>
    </row>
    <row r="42" spans="1:4" x14ac:dyDescent="0.25">
      <c r="A42" s="2" t="s">
        <v>153</v>
      </c>
      <c r="B42" s="6">
        <f xml:space="preserve"> IFERROR(VLOOKUP($B$4 &amp; "|" &amp; $B$6 &amp; "|" &amp; "Civil &amp; Site", Engineering_Costs!$A$2:$I$55, 5, FALSE), 0)*$B$25</f>
        <v>3.3000000000000002E-2</v>
      </c>
      <c r="C42" s="32">
        <f>B42</f>
        <v>3.3000000000000002E-2</v>
      </c>
    </row>
    <row r="43" spans="1:4" x14ac:dyDescent="0.25">
      <c r="A43" s="2" t="s">
        <v>154</v>
      </c>
      <c r="B43" s="6">
        <f>IFERROR(VLOOKUP($B$4 &amp; "|" &amp; $B$6 &amp; "|" &amp; "Mechanical", Engineering_Costs!$A$2:$I$55, 5, FALSE), 0)*$B$25</f>
        <v>3.9600000000000003E-2</v>
      </c>
      <c r="C43" s="32">
        <f t="shared" ref="C43:C46" si="0">B43</f>
        <v>3.9600000000000003E-2</v>
      </c>
    </row>
    <row r="44" spans="1:4" x14ac:dyDescent="0.25">
      <c r="A44" s="2" t="s">
        <v>155</v>
      </c>
      <c r="B44" s="6">
        <f>IFERROR(VLOOKUP($B$4 &amp; "|" &amp; $B$6 &amp; "|" &amp; "Electrical", Engineering_Costs!$A$2:$I$55, 5, FALSE), 0)*$B$25</f>
        <v>2.9700000000000001E-2</v>
      </c>
      <c r="C44" s="32">
        <f t="shared" si="0"/>
        <v>2.9700000000000001E-2</v>
      </c>
    </row>
    <row r="45" spans="1:4" x14ac:dyDescent="0.25">
      <c r="A45" s="2" t="s">
        <v>156</v>
      </c>
      <c r="B45" s="6">
        <f>IFERROR(VLOOKUP($B$4 &amp; "|" &amp; $B$6 &amp; "|" &amp; "Plumbing", Engineering_Costs!$A$2:$I$55, 5, FALSE), 0)*$B$25</f>
        <v>2.3100000000000002E-2</v>
      </c>
      <c r="C45" s="32">
        <f t="shared" si="0"/>
        <v>2.3100000000000002E-2</v>
      </c>
    </row>
    <row r="46" spans="1:4" x14ac:dyDescent="0.25">
      <c r="A46" s="2" t="s">
        <v>157</v>
      </c>
      <c r="B46" s="6">
        <f>IFERROR(VLOOKUP($B$4 &amp; "|" &amp; $B$6 &amp; "|" &amp; "Low-Voltage", Engineering_Costs!$A$2:$I$55, 5, FALSE), 0)*$B$25</f>
        <v>9.9000000000000008E-3</v>
      </c>
      <c r="C46" s="32">
        <f t="shared" si="0"/>
        <v>9.9000000000000008E-3</v>
      </c>
    </row>
    <row r="47" spans="1:4" x14ac:dyDescent="0.25">
      <c r="A47" s="2"/>
    </row>
    <row r="48" spans="1:4" x14ac:dyDescent="0.25">
      <c r="A48" s="2" t="s">
        <v>89</v>
      </c>
      <c r="B48" s="5">
        <f>B49+B50</f>
        <v>446589</v>
      </c>
      <c r="C48" s="26" t="s">
        <v>183</v>
      </c>
      <c r="D48" s="6"/>
    </row>
    <row r="49" spans="1:6" x14ac:dyDescent="0.25">
      <c r="A49" s="2" t="s">
        <v>163</v>
      </c>
      <c r="B49" s="5">
        <f>B23*B38</f>
        <v>275418</v>
      </c>
      <c r="C49" s="26" t="s">
        <v>209</v>
      </c>
      <c r="D49" s="6"/>
    </row>
    <row r="50" spans="1:6" x14ac:dyDescent="0.25">
      <c r="A50" s="2" t="s">
        <v>164</v>
      </c>
      <c r="B50" s="5">
        <f>B24*C38</f>
        <v>171170.99999999997</v>
      </c>
      <c r="C50" s="26" t="s">
        <v>209</v>
      </c>
      <c r="D50" s="6"/>
    </row>
    <row r="51" spans="1:6" x14ac:dyDescent="0.25">
      <c r="A51" s="2" t="s">
        <v>158</v>
      </c>
      <c r="B51" s="5">
        <f>B52+B53</f>
        <v>257400</v>
      </c>
      <c r="C51" s="26" t="s">
        <v>183</v>
      </c>
    </row>
    <row r="52" spans="1:6" x14ac:dyDescent="0.25">
      <c r="A52" s="2" t="s">
        <v>163</v>
      </c>
      <c r="B52" s="5">
        <f>B32</f>
        <v>171600</v>
      </c>
      <c r="C52" s="26" t="s">
        <v>209</v>
      </c>
      <c r="D52" s="6"/>
    </row>
    <row r="53" spans="1:6" x14ac:dyDescent="0.25">
      <c r="A53" s="2" t="s">
        <v>164</v>
      </c>
      <c r="B53" s="5">
        <f>B33</f>
        <v>85800</v>
      </c>
      <c r="C53" s="26" t="s">
        <v>209</v>
      </c>
      <c r="D53" s="6"/>
    </row>
    <row r="54" spans="1:6" x14ac:dyDescent="0.25">
      <c r="A54" s="2" t="s">
        <v>159</v>
      </c>
      <c r="B54" s="5">
        <f>B55+B56</f>
        <v>140400</v>
      </c>
      <c r="C54" s="26" t="s">
        <v>183</v>
      </c>
    </row>
    <row r="55" spans="1:6" x14ac:dyDescent="0.25">
      <c r="A55" s="2" t="s">
        <v>163</v>
      </c>
      <c r="B55" s="5">
        <f>B35</f>
        <v>93600</v>
      </c>
      <c r="C55" s="26" t="s">
        <v>209</v>
      </c>
      <c r="D55" s="6"/>
    </row>
    <row r="56" spans="1:6" x14ac:dyDescent="0.25">
      <c r="A56" s="2" t="s">
        <v>164</v>
      </c>
      <c r="B56" s="5">
        <f>B36</f>
        <v>46800</v>
      </c>
      <c r="C56" s="26" t="s">
        <v>209</v>
      </c>
      <c r="D56" s="6"/>
    </row>
    <row r="57" spans="1:6" x14ac:dyDescent="0.25">
      <c r="A57" s="2" t="s">
        <v>90</v>
      </c>
      <c r="B57" s="5">
        <f>B58+B59</f>
        <v>167310</v>
      </c>
      <c r="C57" s="26" t="s">
        <v>183</v>
      </c>
      <c r="D57" s="6"/>
      <c r="E57" s="4"/>
      <c r="F57" s="4"/>
    </row>
    <row r="58" spans="1:6" x14ac:dyDescent="0.25">
      <c r="A58" s="2" t="s">
        <v>163</v>
      </c>
      <c r="B58" s="5">
        <f>(B29*IFERROR(VLOOKUP($B$4 &amp; "|" &amp; $B$6 &amp; "|" &amp; "Structural", Engineering_Costs!$A$2:$I$55, 5, FALSE), 0))</f>
        <v>133848</v>
      </c>
      <c r="C58" s="26" t="s">
        <v>209</v>
      </c>
      <c r="D58" s="6"/>
    </row>
    <row r="59" spans="1:6" x14ac:dyDescent="0.25">
      <c r="A59" s="2" t="s">
        <v>164</v>
      </c>
      <c r="B59" s="5">
        <f>(B30*IFERROR(VLOOKUP($B$4 &amp; "|" &amp; $B$6 &amp; "|" &amp; "Structural", Engineering_Costs!$A$2:$I$55, 5, FALSE), 0))*B12</f>
        <v>33462</v>
      </c>
      <c r="C59" s="26" t="s">
        <v>209</v>
      </c>
      <c r="D59" s="6"/>
    </row>
    <row r="60" spans="1:6" x14ac:dyDescent="0.25">
      <c r="A60" s="2" t="s">
        <v>91</v>
      </c>
      <c r="B60" s="4">
        <f>B61+B62</f>
        <v>38610</v>
      </c>
      <c r="C60" s="26" t="s">
        <v>183</v>
      </c>
      <c r="D60" s="7"/>
      <c r="E60" s="5"/>
      <c r="F60" s="5"/>
    </row>
    <row r="61" spans="1:6" x14ac:dyDescent="0.25">
      <c r="A61" s="2" t="s">
        <v>163</v>
      </c>
      <c r="B61" s="5">
        <f>(B29 * IFERROR(VLOOKUP($B$4 &amp; "|" &amp; $B$6 &amp; "|" &amp; "Civil &amp; Site", Engineering_Costs!$A$2:$I$55, 5, FALSE), 0))</f>
        <v>25740</v>
      </c>
      <c r="C61" s="26" t="s">
        <v>209</v>
      </c>
      <c r="D61" s="6"/>
    </row>
    <row r="62" spans="1:6" x14ac:dyDescent="0.25">
      <c r="A62" s="2" t="s">
        <v>164</v>
      </c>
      <c r="B62" s="5">
        <f>(B30 * IFERROR(VLOOKUP($B$4 &amp; "|" &amp; $B$6 &amp; "|" &amp; "Civil &amp; Site", Engineering_Costs!$A$2:$I$55, 5, FALSE), 0))</f>
        <v>12870</v>
      </c>
      <c r="C62" s="26" t="s">
        <v>209</v>
      </c>
      <c r="D62" s="6"/>
    </row>
    <row r="63" spans="1:6" x14ac:dyDescent="0.25">
      <c r="A63" s="2" t="s">
        <v>92</v>
      </c>
      <c r="B63" s="4">
        <f>B64+B65</f>
        <v>46332</v>
      </c>
      <c r="C63" s="26" t="s">
        <v>183</v>
      </c>
      <c r="D63" s="7"/>
      <c r="E63" s="5"/>
      <c r="F63" s="5"/>
    </row>
    <row r="64" spans="1:6" x14ac:dyDescent="0.25">
      <c r="A64" s="2" t="s">
        <v>163</v>
      </c>
      <c r="B64" s="5">
        <f>(IFERROR(VLOOKUP($B$4 &amp; "|" &amp; $B$6 &amp; "|" &amp; "Mechanical", Engineering_Costs!$A$2:$I$55, 5, FALSE), 0))*B29</f>
        <v>30888</v>
      </c>
      <c r="C64" s="26" t="s">
        <v>209</v>
      </c>
      <c r="D64" s="6"/>
    </row>
    <row r="65" spans="1:7" x14ac:dyDescent="0.25">
      <c r="A65" s="2" t="s">
        <v>164</v>
      </c>
      <c r="B65" s="5">
        <f>(IFERROR(VLOOKUP($B$4 &amp; "|" &amp; $B$6 &amp; "|" &amp; "Mechanical", Engineering_Costs!$A$2:$I$55, 5, FALSE), 0))*B30</f>
        <v>15444</v>
      </c>
      <c r="C65" s="26" t="s">
        <v>209</v>
      </c>
      <c r="D65" s="6"/>
    </row>
    <row r="66" spans="1:7" x14ac:dyDescent="0.25">
      <c r="A66" s="2" t="s">
        <v>93</v>
      </c>
      <c r="B66" s="4">
        <f>B67+B68</f>
        <v>34749</v>
      </c>
      <c r="C66" s="26" t="s">
        <v>183</v>
      </c>
      <c r="E66" s="5"/>
      <c r="F66" s="5"/>
    </row>
    <row r="67" spans="1:7" x14ac:dyDescent="0.25">
      <c r="A67" s="2" t="s">
        <v>163</v>
      </c>
      <c r="B67" s="5">
        <f>(IFERROR(VLOOKUP($B$4 &amp; "|" &amp; $B$6 &amp; "|" &amp; "Electrical", Engineering_Costs!$A$2:$I$55, 5, FALSE), 0))*B29</f>
        <v>23166</v>
      </c>
      <c r="C67" s="26" t="s">
        <v>209</v>
      </c>
      <c r="D67" s="6"/>
    </row>
    <row r="68" spans="1:7" x14ac:dyDescent="0.25">
      <c r="A68" s="2" t="s">
        <v>164</v>
      </c>
      <c r="B68" s="5">
        <f>(IFERROR(VLOOKUP($B$4 &amp; "|" &amp; $B$6 &amp; "|" &amp; "Electrical", Engineering_Costs!$A$2:$I$55, 5, FALSE), 0))*B30</f>
        <v>11583</v>
      </c>
      <c r="C68" s="26" t="s">
        <v>209</v>
      </c>
      <c r="D68" s="6"/>
    </row>
    <row r="69" spans="1:7" x14ac:dyDescent="0.25">
      <c r="A69" s="2" t="s">
        <v>94</v>
      </c>
      <c r="B69" s="4">
        <f>B70+B71</f>
        <v>27027</v>
      </c>
      <c r="C69" s="26" t="s">
        <v>183</v>
      </c>
      <c r="E69" s="5"/>
      <c r="F69" s="5"/>
    </row>
    <row r="70" spans="1:7" x14ac:dyDescent="0.25">
      <c r="A70" s="2" t="s">
        <v>163</v>
      </c>
      <c r="B70" s="5">
        <f>(IFERROR(VLOOKUP($B$4 &amp; "|" &amp; $B$6 &amp; "|" &amp; "Plumbing", Engineering_Costs!$A$2:$I$55, 5, FALSE), 0))*B29</f>
        <v>18018</v>
      </c>
      <c r="C70" s="26" t="s">
        <v>209</v>
      </c>
      <c r="D70" s="6"/>
    </row>
    <row r="71" spans="1:7" x14ac:dyDescent="0.25">
      <c r="A71" s="2" t="s">
        <v>164</v>
      </c>
      <c r="B71" s="5">
        <f>(IFERROR(VLOOKUP($B$4 &amp; "|" &amp; $B$6 &amp; "|" &amp; "Plumbing", Engineering_Costs!$A$2:$I$55, 5, FALSE), 0))*B30</f>
        <v>9009</v>
      </c>
      <c r="C71" s="26" t="s">
        <v>209</v>
      </c>
      <c r="D71" s="6"/>
    </row>
    <row r="72" spans="1:7" x14ac:dyDescent="0.25">
      <c r="A72" s="2" t="s">
        <v>162</v>
      </c>
      <c r="B72" s="4">
        <f>B73+B74</f>
        <v>11583</v>
      </c>
      <c r="C72" s="26" t="s">
        <v>183</v>
      </c>
      <c r="E72" s="5"/>
      <c r="F72" s="5"/>
    </row>
    <row r="73" spans="1:7" x14ac:dyDescent="0.25">
      <c r="A73" s="2" t="s">
        <v>163</v>
      </c>
      <c r="B73" s="5">
        <f>(IFERROR(VLOOKUP($B$4 &amp; "|" &amp; $B$6 &amp; "|" &amp; "Low-Voltage", Engineering_Costs!$A$2:$I$55, 5, FALSE), 0))*B29</f>
        <v>7722</v>
      </c>
      <c r="C73" s="26" t="s">
        <v>209</v>
      </c>
      <c r="D73" s="6"/>
    </row>
    <row r="74" spans="1:7" x14ac:dyDescent="0.25">
      <c r="A74" s="2" t="s">
        <v>164</v>
      </c>
      <c r="B74" s="5">
        <f>(IFERROR(VLOOKUP($B$4 &amp; "|" &amp; $B$6 &amp; "|" &amp; "Low-Voltage", Engineering_Costs!$A$2:$I$55, 5, FALSE), 0))*B30</f>
        <v>3861</v>
      </c>
      <c r="C74" s="26" t="s">
        <v>209</v>
      </c>
      <c r="D74" s="6"/>
    </row>
    <row r="75" spans="1:7" x14ac:dyDescent="0.25">
      <c r="A75" s="2"/>
      <c r="B75" s="5"/>
      <c r="C75" s="32"/>
      <c r="E75" s="5"/>
      <c r="F75" s="5"/>
    </row>
    <row r="76" spans="1:7" ht="21" x14ac:dyDescent="0.35">
      <c r="A76" s="25" t="s">
        <v>184</v>
      </c>
      <c r="B76" s="20">
        <f>B48+B51+B54+B57+B60+B63+B66+B69+B72</f>
        <v>1170000</v>
      </c>
      <c r="E76" s="5"/>
      <c r="F76" s="5"/>
    </row>
    <row r="77" spans="1:7" ht="18.75" x14ac:dyDescent="0.3">
      <c r="A77" s="2" t="s">
        <v>163</v>
      </c>
      <c r="B77" s="20">
        <f>B49+B52+B55+B58+B61+B64+B67+B70+B73</f>
        <v>780000</v>
      </c>
      <c r="C77" s="26" t="s">
        <v>165</v>
      </c>
      <c r="E77" s="5"/>
      <c r="F77" s="5"/>
      <c r="G77" s="6"/>
    </row>
    <row r="78" spans="1:7" ht="18.75" x14ac:dyDescent="0.3">
      <c r="A78" s="2" t="s">
        <v>164</v>
      </c>
      <c r="B78" s="20">
        <f>B50+B53+B56+B59+B62+B65+B68+B71+B74</f>
        <v>390000</v>
      </c>
      <c r="C78" s="26" t="s">
        <v>165</v>
      </c>
      <c r="E78" s="5"/>
      <c r="F78" s="5"/>
    </row>
    <row r="79" spans="1:7" ht="16.5" customHeight="1" x14ac:dyDescent="0.25">
      <c r="A79" s="9" t="s">
        <v>213</v>
      </c>
      <c r="B79" s="9">
        <v>1.3</v>
      </c>
      <c r="C79" s="8" t="s">
        <v>208</v>
      </c>
      <c r="E79" s="5"/>
      <c r="F79" s="5"/>
    </row>
    <row r="80" spans="1:7" x14ac:dyDescent="0.25">
      <c r="A80" s="9" t="s">
        <v>218</v>
      </c>
      <c r="B80" s="21">
        <v>0.15</v>
      </c>
      <c r="E80" s="5"/>
      <c r="F80" s="5"/>
    </row>
    <row r="81" spans="1:9" x14ac:dyDescent="0.25">
      <c r="A81" s="9" t="s">
        <v>104</v>
      </c>
      <c r="B81" s="27">
        <v>1</v>
      </c>
      <c r="E81" s="5"/>
      <c r="F81" s="5"/>
    </row>
    <row r="82" spans="1:9" x14ac:dyDescent="0.25">
      <c r="A82" s="9" t="s">
        <v>298</v>
      </c>
      <c r="B82" s="5"/>
    </row>
    <row r="83" spans="1:9" ht="30" x14ac:dyDescent="0.25">
      <c r="A83" s="1" t="s">
        <v>9</v>
      </c>
      <c r="B83" s="1" t="s">
        <v>212</v>
      </c>
      <c r="C83" s="31" t="s">
        <v>138</v>
      </c>
      <c r="D83" s="1" t="s">
        <v>113</v>
      </c>
      <c r="E83" s="28" t="s">
        <v>251</v>
      </c>
      <c r="F83" s="28" t="s">
        <v>219</v>
      </c>
      <c r="G83" s="8" t="s">
        <v>217</v>
      </c>
      <c r="H83" s="45" t="s">
        <v>115</v>
      </c>
    </row>
    <row r="84" spans="1:9" x14ac:dyDescent="0.25">
      <c r="A84" t="s">
        <v>210</v>
      </c>
      <c r="C84" s="44">
        <f>(0.6+0.006*((1000+$B$8)/1000000)^(-0.7495))*B79</f>
        <v>1.3867254637258646</v>
      </c>
      <c r="D84" s="41">
        <f>C84*B8</f>
        <v>2773.4509274517291</v>
      </c>
      <c r="E84" s="46">
        <f>D84</f>
        <v>2773.4509274517291</v>
      </c>
      <c r="F84" s="30">
        <f>E84/$G$110</f>
        <v>16.91128614299835</v>
      </c>
      <c r="G84" s="41">
        <v>0</v>
      </c>
      <c r="H84" s="41">
        <v>0</v>
      </c>
    </row>
    <row r="85" spans="1:9" x14ac:dyDescent="0.25">
      <c r="A85" t="s">
        <v>211</v>
      </c>
      <c r="C85" s="43">
        <f>(1+0.00091*($B$9/1000000)^(-0.005))*B79/(3.28^2)+0.08</f>
        <v>0.20094965302291257</v>
      </c>
      <c r="D85" s="41">
        <f>C85*(B9*(3.28^2))</f>
        <v>2101.3636381634146</v>
      </c>
      <c r="E85" s="46">
        <f t="shared" ref="E85:E90" si="1">D85</f>
        <v>2101.3636381634146</v>
      </c>
      <c r="F85" s="30">
        <f>E85/$G$110</f>
        <v>12.813192915630577</v>
      </c>
      <c r="G85" s="41">
        <v>0</v>
      </c>
      <c r="H85" s="41">
        <v>0</v>
      </c>
    </row>
    <row r="86" spans="1:9" x14ac:dyDescent="0.25">
      <c r="A86" t="s">
        <v>114</v>
      </c>
      <c r="B86" s="6">
        <f>((((0.07498+0.007824*($B$28/1000000)^(-0.7495))*($B$79)*$B$77*0.95)+((0.07498+0.007824*($B$28/1000000)^(-0.7495))*($B$79)*$B$78*1.05))/$B$76)*(1+(1-$B$12))</f>
        <v>0.1619841829377078</v>
      </c>
      <c r="C86" s="44">
        <f>D86/($B$7+$B$8)</f>
        <v>18.085088568492001</v>
      </c>
      <c r="D86" s="42">
        <f>B86*B48</f>
        <v>72340.354273967998</v>
      </c>
      <c r="E86" s="46">
        <f t="shared" si="1"/>
        <v>72340.354273967998</v>
      </c>
      <c r="F86" s="30">
        <f>E86/$G$110</f>
        <v>441.09972118273168</v>
      </c>
      <c r="G86" s="41">
        <v>0</v>
      </c>
      <c r="H86" s="41">
        <v>0</v>
      </c>
    </row>
    <row r="87" spans="1:9" ht="31.5" customHeight="1" x14ac:dyDescent="0.25">
      <c r="A87" t="s">
        <v>137</v>
      </c>
      <c r="B87" s="6">
        <f>((((0.07498+0.007824*($B$34/1000000)^(-0.7495))*($B$79)*$B$77*0.95)+((0.07498+0.007824*($B$34/1000000)^(-0.7495))*($B$79)*$B$78*1.05))/$B$76)*(1+(1-$B$12))</f>
        <v>0.20911918081618103</v>
      </c>
      <c r="C87" s="44">
        <f t="shared" ref="C87:C94" si="2">D87/($B$7+$B$8)</f>
        <v>13.456819285521249</v>
      </c>
      <c r="D87" s="42">
        <f>B87*B31</f>
        <v>53827.277142084997</v>
      </c>
      <c r="E87" s="46">
        <f t="shared" si="1"/>
        <v>53827.277142084997</v>
      </c>
      <c r="F87" s="30">
        <f>E87/$G$110</f>
        <v>328.2151045249085</v>
      </c>
      <c r="G87" s="41">
        <v>0</v>
      </c>
      <c r="H87" s="41">
        <v>0</v>
      </c>
    </row>
    <row r="88" spans="1:9" x14ac:dyDescent="0.25">
      <c r="A88" t="s">
        <v>10</v>
      </c>
      <c r="B88" s="6">
        <f>((((0.07498+0.007824*($B$31/1000000)^(-0.7495))*($B$79)*$B$77*0.95)+((0.07498+0.007824*($B$31/1000000)^(-0.7495))*($B$79)*$B$78*1.05))/$B$76)*(1+(1-B12))</f>
        <v>0.18526125320793296</v>
      </c>
      <c r="C88" s="44">
        <f t="shared" si="2"/>
        <v>6.5026699875984466</v>
      </c>
      <c r="D88" s="42">
        <f>B88*B34</f>
        <v>26010.679950393787</v>
      </c>
      <c r="E88" s="46">
        <f t="shared" si="1"/>
        <v>26010.679950393787</v>
      </c>
      <c r="F88" s="30">
        <f>E88/$G$110</f>
        <v>158.60170701459626</v>
      </c>
      <c r="G88" s="41">
        <v>0</v>
      </c>
      <c r="H88" s="41">
        <v>0</v>
      </c>
      <c r="I88" s="10"/>
    </row>
    <row r="89" spans="1:9" x14ac:dyDescent="0.25">
      <c r="A89" t="s">
        <v>12</v>
      </c>
      <c r="B89" s="6">
        <f>(((0.07498+0.007824*($B$57/1000000)^(-0.7495))*($B$79)*$B$77*0.95)+((0.07498+0.007824*($B$57/1000000)^(-0.7495))*($B$79)*$B$78*1.05))/$B$76</f>
        <v>0.13404766795178993</v>
      </c>
      <c r="C89" s="44">
        <f t="shared" si="2"/>
        <v>5.6068788312534936</v>
      </c>
      <c r="D89" s="42">
        <f>B89*B57</f>
        <v>22427.515325013974</v>
      </c>
      <c r="E89" s="46">
        <f t="shared" si="1"/>
        <v>22427.515325013974</v>
      </c>
      <c r="F89" s="30">
        <f>E89/$G$110</f>
        <v>136.75314222569497</v>
      </c>
      <c r="G89" s="41">
        <v>0</v>
      </c>
      <c r="H89" s="41">
        <v>0</v>
      </c>
    </row>
    <row r="90" spans="1:9" x14ac:dyDescent="0.25">
      <c r="A90" t="s">
        <v>11</v>
      </c>
      <c r="B90" s="6">
        <f>(((0.07498+0.007824*($B$60/1000000)^(-0.7495))*($B$79)*$B$77*0.95)+((0.07498+0.007824*($B$60/1000000)^(-0.7495))*($B$79)*$B$78*1.05))/$B$76</f>
        <v>0.21049082620734558</v>
      </c>
      <c r="C90" s="44">
        <f t="shared" si="2"/>
        <v>2.0317626999664031</v>
      </c>
      <c r="D90" s="42">
        <f>B90*B60</f>
        <v>8127.050799865613</v>
      </c>
      <c r="E90" s="46">
        <f t="shared" si="1"/>
        <v>8127.050799865613</v>
      </c>
      <c r="F90" s="30">
        <f>E90/$G$110</f>
        <v>49.555187804058619</v>
      </c>
      <c r="G90" s="41">
        <v>0</v>
      </c>
      <c r="H90" s="41">
        <v>0</v>
      </c>
    </row>
    <row r="91" spans="1:9" x14ac:dyDescent="0.25">
      <c r="A91" t="s">
        <v>13</v>
      </c>
      <c r="B91" s="6">
        <f>(((0.07498+0.007824*($B$63/1000000)^(-0.7495))*($B$79)*$B$77*0.95)+((0.07498+0.007824*($B$63/1000000)^(-0.7495))*($B$79)*$B$78*1.05))/$B$76</f>
        <v>0.19584830740203271</v>
      </c>
      <c r="C91" s="44">
        <f t="shared" si="2"/>
        <v>2.2685109446377449</v>
      </c>
      <c r="D91" s="42">
        <f>B91*B63</f>
        <v>9074.0437785509803</v>
      </c>
      <c r="E91" s="46">
        <v>0</v>
      </c>
      <c r="F91" s="30">
        <f>E91/$G$110</f>
        <v>0</v>
      </c>
      <c r="G91" s="42">
        <f>H91*B80</f>
        <v>1361.106566782647</v>
      </c>
      <c r="H91" s="42">
        <f>D91</f>
        <v>9074.0437785509803</v>
      </c>
    </row>
    <row r="92" spans="1:9" x14ac:dyDescent="0.25">
      <c r="A92" t="s">
        <v>14</v>
      </c>
      <c r="B92" s="6">
        <f>(((0.07498+0.007824*($B$66/1000000)^(-0.7495))*($B$79)*$B$77*0.95)+((0.07498+0.007824*($B$66/1000000)^(-0.7495))*($B$79)*$B$78*1.05))/$B$76</f>
        <v>0.21991083774630249</v>
      </c>
      <c r="C92" s="44">
        <f t="shared" si="2"/>
        <v>1.9104204252115662</v>
      </c>
      <c r="D92" s="42">
        <f>B92*B66</f>
        <v>7641.6817008462649</v>
      </c>
      <c r="E92" s="46">
        <v>0</v>
      </c>
      <c r="F92" s="30">
        <f>E92/$G$110</f>
        <v>0</v>
      </c>
      <c r="G92" s="42">
        <f>H92*B80</f>
        <v>1146.2522551269396</v>
      </c>
      <c r="H92" s="42">
        <f>D92</f>
        <v>7641.6817008462649</v>
      </c>
    </row>
    <row r="93" spans="1:9" x14ac:dyDescent="0.25">
      <c r="A93" t="s">
        <v>15</v>
      </c>
      <c r="B93" s="6">
        <f>(((0.07498+0.007824*($B$69/1000000)^(-0.7495))*($B$79)*$B$77*0.95)+((0.07498+0.007824*($B$69/1000000)^(-0.7495))*($B$79)*$B$78*1.05))/$B$76</f>
        <v>0.24562482813189579</v>
      </c>
      <c r="C93" s="44">
        <f t="shared" si="2"/>
        <v>1.6596255574801868</v>
      </c>
      <c r="D93" s="41">
        <f>B93*B69</f>
        <v>6638.5022299207476</v>
      </c>
      <c r="E93" s="46">
        <f>D93</f>
        <v>6638.5022299207476</v>
      </c>
      <c r="F93" s="30">
        <f>E93/$G$110</f>
        <v>40.478672133663096</v>
      </c>
      <c r="G93" s="42">
        <v>0</v>
      </c>
      <c r="H93" s="42">
        <v>0</v>
      </c>
    </row>
    <row r="94" spans="1:9" ht="15.75" thickBot="1" x14ac:dyDescent="0.3">
      <c r="A94" t="s">
        <v>207</v>
      </c>
      <c r="B94" s="6">
        <f>(((0.07498+0.007824*($B$72/1000000)^(-0.7495))*($B$79)*$B$77*0.95)+((0.07498+0.007824*($B$72/1000000)^(-0.7495))*($B$79)*$B$78*1.05))/$B$76</f>
        <v>0.37849297970188983</v>
      </c>
      <c r="C94" s="44">
        <f t="shared" si="2"/>
        <v>1.0960210459717474</v>
      </c>
      <c r="D94" s="42">
        <f>B94*B72</f>
        <v>4384.0841838869901</v>
      </c>
      <c r="E94" s="46">
        <v>0</v>
      </c>
      <c r="F94" s="30">
        <f>E94/$G$110</f>
        <v>0</v>
      </c>
      <c r="G94" s="42">
        <f>H94*B80</f>
        <v>657.61262758304849</v>
      </c>
      <c r="H94" s="42">
        <f>D94</f>
        <v>4384.0841838869901</v>
      </c>
    </row>
    <row r="95" spans="1:9" ht="15.75" thickBot="1" x14ac:dyDescent="0.3">
      <c r="A95" s="2" t="s">
        <v>16</v>
      </c>
      <c r="D95" s="46">
        <f>SUM(D84:D94)</f>
        <v>215346.00395014652</v>
      </c>
      <c r="E95" s="47">
        <f>SUM(E84:E94)</f>
        <v>194246.19428686227</v>
      </c>
      <c r="F95" s="49">
        <f>SUM(F84:F94)</f>
        <v>1184.4280139442822</v>
      </c>
      <c r="G95" s="42">
        <f>SUM(G84:G94)</f>
        <v>3164.9714494926347</v>
      </c>
      <c r="H95" s="42">
        <f>SUM(H84:H94)</f>
        <v>21099.809663284235</v>
      </c>
    </row>
    <row r="97" spans="1:7" x14ac:dyDescent="0.25">
      <c r="A97" s="9" t="s">
        <v>299</v>
      </c>
      <c r="G97" s="6"/>
    </row>
    <row r="98" spans="1:7" x14ac:dyDescent="0.25">
      <c r="A98" s="9" t="s">
        <v>222</v>
      </c>
      <c r="B98" s="9"/>
    </row>
    <row r="99" spans="1:7" x14ac:dyDescent="0.25">
      <c r="A99" t="s">
        <v>224</v>
      </c>
      <c r="B99" t="s">
        <v>220</v>
      </c>
      <c r="C99" s="8" t="s">
        <v>221</v>
      </c>
      <c r="D99" t="s">
        <v>99</v>
      </c>
      <c r="E99" t="s">
        <v>100</v>
      </c>
      <c r="F99" t="s">
        <v>101</v>
      </c>
      <c r="G99" t="s">
        <v>105</v>
      </c>
    </row>
    <row r="100" spans="1:7" x14ac:dyDescent="0.25">
      <c r="A100" t="s">
        <v>223</v>
      </c>
      <c r="B100" s="41">
        <v>26</v>
      </c>
      <c r="C100" s="44">
        <v>26</v>
      </c>
      <c r="D100" s="41">
        <v>26</v>
      </c>
      <c r="E100" s="41">
        <v>26</v>
      </c>
      <c r="F100" s="41">
        <v>26</v>
      </c>
      <c r="G100" s="41"/>
    </row>
    <row r="101" spans="1:7" x14ac:dyDescent="0.25">
      <c r="A101" t="s">
        <v>111</v>
      </c>
      <c r="B101" s="41">
        <v>74318.149999999994</v>
      </c>
      <c r="C101" s="44">
        <v>74318.149999999994</v>
      </c>
      <c r="D101" s="41">
        <v>74318.149999999994</v>
      </c>
      <c r="E101" s="41">
        <v>74318.149999999994</v>
      </c>
      <c r="F101" s="41">
        <v>74318.149999999994</v>
      </c>
      <c r="G101" s="41">
        <v>371590.75</v>
      </c>
    </row>
    <row r="102" spans="1:7" x14ac:dyDescent="0.25">
      <c r="A102" t="s">
        <v>112</v>
      </c>
      <c r="B102" s="41">
        <v>80707.136731682025</v>
      </c>
      <c r="C102" s="44">
        <v>80707.136731682025</v>
      </c>
      <c r="D102" s="41">
        <v>93356.754012697842</v>
      </c>
      <c r="E102" s="41">
        <v>93356.754012697842</v>
      </c>
      <c r="F102" s="41">
        <v>175579.26633930075</v>
      </c>
      <c r="G102" s="41">
        <f>SUM(B102:F102)</f>
        <v>523707.04782806046</v>
      </c>
    </row>
    <row r="103" spans="1:7" x14ac:dyDescent="0.25">
      <c r="A103" s="9" t="s">
        <v>112</v>
      </c>
      <c r="B103" s="37">
        <f>B101+B102</f>
        <v>155025.28673168202</v>
      </c>
      <c r="C103" s="38">
        <f t="shared" ref="C103:F103" si="3">C101+C102</f>
        <v>155025.28673168202</v>
      </c>
      <c r="D103" s="37">
        <f t="shared" si="3"/>
        <v>167674.90401269784</v>
      </c>
      <c r="E103" s="37">
        <f t="shared" si="3"/>
        <v>167674.90401269784</v>
      </c>
      <c r="F103" s="37">
        <f t="shared" si="3"/>
        <v>249897.41633930075</v>
      </c>
      <c r="G103" s="37">
        <f>G101+G102</f>
        <v>895297.79782806046</v>
      </c>
    </row>
    <row r="104" spans="1:7" x14ac:dyDescent="0.25">
      <c r="A104" s="9" t="s">
        <v>103</v>
      </c>
    </row>
    <row r="105" spans="1:7" x14ac:dyDescent="0.25">
      <c r="A105" t="s">
        <v>224</v>
      </c>
      <c r="B105" t="s">
        <v>220</v>
      </c>
      <c r="C105" s="8" t="s">
        <v>221</v>
      </c>
      <c r="D105" t="s">
        <v>99</v>
      </c>
      <c r="E105" t="s">
        <v>100</v>
      </c>
      <c r="F105" t="s">
        <v>101</v>
      </c>
      <c r="G105" t="s">
        <v>105</v>
      </c>
    </row>
    <row r="106" spans="1:7" x14ac:dyDescent="0.25">
      <c r="A106" s="15" t="s">
        <v>107</v>
      </c>
      <c r="B106" s="39">
        <v>35.729879807692306</v>
      </c>
      <c r="C106" s="40">
        <v>35.729879807692306</v>
      </c>
      <c r="D106" s="39">
        <v>35.729879807692306</v>
      </c>
      <c r="E106" s="39">
        <v>35.729879807692306</v>
      </c>
      <c r="F106" s="39">
        <v>35.729879807692306</v>
      </c>
      <c r="G106" s="39">
        <f>AVERAGE(B106:F106)</f>
        <v>35.729879807692306</v>
      </c>
    </row>
    <row r="107" spans="1:7" x14ac:dyDescent="0.25">
      <c r="A107" s="18" t="s">
        <v>108</v>
      </c>
      <c r="B107" s="39">
        <v>39.407061030430839</v>
      </c>
      <c r="C107" s="40">
        <v>39.407061030430839</v>
      </c>
      <c r="D107" s="39">
        <v>42.449954110349232</v>
      </c>
      <c r="E107" s="39">
        <v>42.449954110349232</v>
      </c>
      <c r="F107" s="39">
        <v>66.793098749696412</v>
      </c>
      <c r="G107" s="39">
        <f>AVERAGE(B107:F107)</f>
        <v>46.101425806251314</v>
      </c>
    </row>
    <row r="108" spans="1:7" x14ac:dyDescent="0.25">
      <c r="A108" s="17" t="s">
        <v>109</v>
      </c>
      <c r="B108" s="41">
        <f>B106+B107</f>
        <v>75.136940838123138</v>
      </c>
      <c r="C108" s="41">
        <f t="shared" ref="C108:F108" si="4">C106+C107</f>
        <v>75.136940838123138</v>
      </c>
      <c r="D108" s="41">
        <f t="shared" si="4"/>
        <v>78.179833918041538</v>
      </c>
      <c r="E108" s="41">
        <f t="shared" si="4"/>
        <v>78.179833918041538</v>
      </c>
      <c r="F108" s="41">
        <f t="shared" si="4"/>
        <v>102.52297855738871</v>
      </c>
      <c r="G108" s="39">
        <f>AVERAGE(B108:F108)</f>
        <v>81.831305613943613</v>
      </c>
    </row>
    <row r="109" spans="1:7" ht="15.75" thickBot="1" x14ac:dyDescent="0.3">
      <c r="A109" s="14" t="s">
        <v>110</v>
      </c>
      <c r="B109" s="6">
        <f>(B110-B108)/B110</f>
        <v>0.49908706107917911</v>
      </c>
      <c r="C109" s="6">
        <f t="shared" ref="C109:G109" si="5">(C110-C108)/C110</f>
        <v>0.49908706107917911</v>
      </c>
      <c r="D109" s="6">
        <f t="shared" si="5"/>
        <v>0.49884721847409269</v>
      </c>
      <c r="E109" s="6">
        <f t="shared" si="5"/>
        <v>0.49884721847409269</v>
      </c>
      <c r="F109" s="6">
        <f t="shared" si="5"/>
        <v>0.49988790947615264</v>
      </c>
      <c r="G109" s="6">
        <f t="shared" si="5"/>
        <v>0.50102862430522188</v>
      </c>
    </row>
    <row r="110" spans="1:7" ht="15.75" thickBot="1" x14ac:dyDescent="0.3">
      <c r="A110" s="29" t="s">
        <v>106</v>
      </c>
      <c r="B110" s="37">
        <f>ROUND(B108*(1+$B$81),0)</f>
        <v>150</v>
      </c>
      <c r="C110" s="37">
        <f>ROUND(C108*(1+$B$81),0)</f>
        <v>150</v>
      </c>
      <c r="D110" s="37">
        <f>ROUND(D108*(1+$B$81),0)</f>
        <v>156</v>
      </c>
      <c r="E110" s="37">
        <f>ROUND(E108*(1+$B$81),0)</f>
        <v>156</v>
      </c>
      <c r="F110" s="37">
        <f>ROUND(F108*(1+$B$81),0)</f>
        <v>205</v>
      </c>
      <c r="G110" s="48">
        <f>ROUND(G108*(1+$B$81),0)</f>
        <v>164</v>
      </c>
    </row>
    <row r="112" spans="1:7" x14ac:dyDescent="0.25">
      <c r="A112" s="9" t="s">
        <v>300</v>
      </c>
    </row>
    <row r="113" spans="1:23" x14ac:dyDescent="0.25">
      <c r="A113" s="9" t="s">
        <v>98</v>
      </c>
    </row>
    <row r="114" spans="1:23" x14ac:dyDescent="0.25">
      <c r="A114" t="s">
        <v>237</v>
      </c>
      <c r="B114" s="12">
        <f>(0.21767+11.21274*((B7+B8) ^ -0.53816)- 0.08)*$B$79*0.9</f>
        <v>0.31222559048422438</v>
      </c>
      <c r="C114" s="8" t="s">
        <v>239</v>
      </c>
    </row>
    <row r="115" spans="1:23" x14ac:dyDescent="0.25">
      <c r="A115" t="s">
        <v>238</v>
      </c>
      <c r="B115" s="12">
        <f>(0.21767+11.21274*((B8+B7) ^ -0.53816)- 0.08)*$B$79*0.77</f>
        <v>0.26712633852539197</v>
      </c>
      <c r="C115" s="8" t="s">
        <v>239</v>
      </c>
    </row>
    <row r="116" spans="1:23" x14ac:dyDescent="0.25">
      <c r="A116" t="s">
        <v>247</v>
      </c>
      <c r="B116" s="12">
        <f>$B$114*($B$7)</f>
        <v>624.45118096844874</v>
      </c>
      <c r="C116" s="8" t="s">
        <v>239</v>
      </c>
      <c r="D116" s="4"/>
      <c r="R116" s="4"/>
      <c r="S116" s="4"/>
      <c r="T116" s="4"/>
      <c r="U116" s="4"/>
      <c r="V116" s="4"/>
      <c r="W116" s="4"/>
    </row>
    <row r="117" spans="1:23" x14ac:dyDescent="0.25">
      <c r="A117" t="s">
        <v>248</v>
      </c>
      <c r="B117" s="12">
        <f>$B$115*($B$8)*1.15</f>
        <v>614.39057860840148</v>
      </c>
      <c r="C117" s="8" t="s">
        <v>239</v>
      </c>
      <c r="D117" s="4"/>
      <c r="E117" s="4"/>
      <c r="F117" s="4"/>
      <c r="G117" s="4"/>
      <c r="R117" s="4"/>
      <c r="S117" s="4"/>
      <c r="T117" s="4"/>
      <c r="U117" s="4"/>
      <c r="V117" s="4"/>
      <c r="W117" s="4"/>
    </row>
    <row r="118" spans="1:23" x14ac:dyDescent="0.25">
      <c r="D118" s="4"/>
      <c r="E118" s="4"/>
      <c r="F118" s="4"/>
      <c r="G118" s="4"/>
    </row>
    <row r="119" spans="1:23" x14ac:dyDescent="0.25">
      <c r="D119" s="4"/>
      <c r="E119" s="4"/>
      <c r="F119" s="4"/>
      <c r="G119" s="4"/>
    </row>
    <row r="120" spans="1:23" x14ac:dyDescent="0.25">
      <c r="A120" s="9" t="s">
        <v>301</v>
      </c>
      <c r="E120" s="4"/>
      <c r="F120" s="4"/>
      <c r="G120" s="4"/>
    </row>
    <row r="121" spans="1:23" x14ac:dyDescent="0.25">
      <c r="A121" s="1" t="s">
        <v>9</v>
      </c>
      <c r="B121" s="11" t="s">
        <v>225</v>
      </c>
      <c r="C121" s="33" t="s">
        <v>139</v>
      </c>
      <c r="D121" s="11" t="s">
        <v>240</v>
      </c>
      <c r="E121" s="11" t="s">
        <v>241</v>
      </c>
      <c r="F121" s="4"/>
      <c r="G121" s="4"/>
    </row>
    <row r="122" spans="1:23" x14ac:dyDescent="0.25">
      <c r="A122" t="s">
        <v>210</v>
      </c>
      <c r="B122" s="6">
        <f>D84/(SUM($D$84:$D$94))</f>
        <v>1.2879045241507217E-2</v>
      </c>
      <c r="C122" s="34">
        <f>B122*($B$116+B117)</f>
        <v>15.95509906865866</v>
      </c>
      <c r="D122" s="36">
        <f>C122</f>
        <v>15.95509906865866</v>
      </c>
    </row>
    <row r="123" spans="1:23" x14ac:dyDescent="0.25">
      <c r="A123" t="s">
        <v>211</v>
      </c>
      <c r="B123" s="6">
        <f>D85/(SUM($D$84:$D$94))</f>
        <v>9.7580804826538081E-3</v>
      </c>
      <c r="C123" s="34">
        <f>B123*($B$116+$B$117)</f>
        <v>12.088717595223363</v>
      </c>
      <c r="D123" s="36">
        <f t="shared" ref="D123:D127" si="6">C123</f>
        <v>12.088717595223363</v>
      </c>
      <c r="E123" s="4"/>
      <c r="F123" s="4"/>
      <c r="G123" s="4"/>
    </row>
    <row r="124" spans="1:23" x14ac:dyDescent="0.25">
      <c r="A124" t="s">
        <v>114</v>
      </c>
      <c r="B124" s="6">
        <f>D86/(SUM($D$84:$D$94))</f>
        <v>0.33592615115679175</v>
      </c>
      <c r="C124" s="34">
        <f>B124*($B$116+$B$117)</f>
        <v>416.15934418695883</v>
      </c>
      <c r="D124" s="36">
        <f t="shared" si="6"/>
        <v>416.15934418695883</v>
      </c>
    </row>
    <row r="125" spans="1:23" x14ac:dyDescent="0.25">
      <c r="A125" t="s">
        <v>137</v>
      </c>
      <c r="B125" s="6">
        <f>D87/(SUM($D$84:$D$94))</f>
        <v>0.24995716732475903</v>
      </c>
      <c r="C125" s="34">
        <f>B125*($B$116+$B$117)</f>
        <v>309.65737698744965</v>
      </c>
      <c r="D125" s="36">
        <f t="shared" si="6"/>
        <v>309.65737698744965</v>
      </c>
    </row>
    <row r="126" spans="1:23" x14ac:dyDescent="0.25">
      <c r="A126" t="s">
        <v>10</v>
      </c>
      <c r="B126" s="6">
        <f>D88/(SUM($D$84:$D$94))</f>
        <v>0.12078552410201847</v>
      </c>
      <c r="C126" s="34">
        <f>B126*($B$116+$B$117)</f>
        <v>149.6341512099566</v>
      </c>
      <c r="D126" s="36">
        <f t="shared" si="6"/>
        <v>149.6341512099566</v>
      </c>
    </row>
    <row r="127" spans="1:23" x14ac:dyDescent="0.25">
      <c r="A127" t="s">
        <v>12</v>
      </c>
      <c r="B127" s="6">
        <f>D89/(SUM($D$84:$D$94))</f>
        <v>0.10414641977849766</v>
      </c>
      <c r="C127" s="34">
        <f>B127*($B$116+$B$117)</f>
        <v>129.0209339320233</v>
      </c>
      <c r="D127" s="36">
        <f t="shared" si="6"/>
        <v>129.0209339320233</v>
      </c>
    </row>
    <row r="128" spans="1:23" x14ac:dyDescent="0.25">
      <c r="A128" t="s">
        <v>11</v>
      </c>
      <c r="B128" s="6">
        <f>D90/(SUM($D$84:$D$94))</f>
        <v>3.77395013178283E-2</v>
      </c>
      <c r="C128" s="34">
        <f>B128*($B$116+$B$117)</f>
        <v>46.753270218131263</v>
      </c>
      <c r="D128" s="36">
        <f>C128</f>
        <v>46.753270218131263</v>
      </c>
    </row>
    <row r="129" spans="1:5" x14ac:dyDescent="0.25">
      <c r="A129" t="s">
        <v>13</v>
      </c>
      <c r="B129" s="6">
        <f>D91/(SUM($D$84:$D$94))</f>
        <v>4.2137042768862612E-2</v>
      </c>
      <c r="C129" s="34">
        <f>B129*($B$116+$B$117)</f>
        <v>52.201128207142744</v>
      </c>
      <c r="D129" s="36"/>
      <c r="E129" s="19">
        <f>C129</f>
        <v>52.201128207142744</v>
      </c>
    </row>
    <row r="130" spans="1:5" x14ac:dyDescent="0.25">
      <c r="A130" t="s">
        <v>14</v>
      </c>
      <c r="B130" s="6">
        <f>D92/(SUM($D$84:$D$94))</f>
        <v>3.5485597878172584E-2</v>
      </c>
      <c r="C130" s="34">
        <f>B130*($B$116+$B$117)</f>
        <v>43.961040515031861</v>
      </c>
      <c r="D130" s="36"/>
      <c r="E130" s="19">
        <f>C130</f>
        <v>43.961040515031861</v>
      </c>
    </row>
    <row r="131" spans="1:5" x14ac:dyDescent="0.25">
      <c r="A131" t="s">
        <v>15</v>
      </c>
      <c r="B131" s="6">
        <f>D93/(SUM($D$84:$D$94))</f>
        <v>3.0827143797186912E-2</v>
      </c>
      <c r="C131" s="34">
        <f>B131*($B$116+$B$117)</f>
        <v>38.189953064435613</v>
      </c>
      <c r="D131" s="36">
        <f>C131</f>
        <v>38.189953064435613</v>
      </c>
    </row>
    <row r="132" spans="1:5" x14ac:dyDescent="0.25">
      <c r="A132" t="s">
        <v>207</v>
      </c>
      <c r="B132" s="6">
        <f>D94/(SUM($D$84:$D$94))</f>
        <v>2.0358326151721503E-2</v>
      </c>
      <c r="C132" s="34">
        <f>B132*($B$116+$B$117)</f>
        <v>25.22074459183807</v>
      </c>
      <c r="D132" s="36"/>
      <c r="E132" s="19">
        <f>C132</f>
        <v>25.22074459183807</v>
      </c>
    </row>
    <row r="133" spans="1:5" x14ac:dyDescent="0.25">
      <c r="A133" s="2" t="s">
        <v>16</v>
      </c>
      <c r="B133" s="7">
        <f>SUM(B122:B132)</f>
        <v>1</v>
      </c>
      <c r="C133" s="35">
        <f>B133*($B$116+$B$117)</f>
        <v>1238.8417595768501</v>
      </c>
      <c r="D133" s="13">
        <f>SUM(D122:D132)</f>
        <v>1117.4588462628374</v>
      </c>
      <c r="E133" s="12">
        <f>SUM(E122:E132)</f>
        <v>121.38291331401268</v>
      </c>
    </row>
    <row r="136" spans="1:5" x14ac:dyDescent="0.25">
      <c r="A136" s="9" t="s">
        <v>300</v>
      </c>
    </row>
    <row r="137" spans="1:5" x14ac:dyDescent="0.25">
      <c r="A137" s="9" t="s">
        <v>226</v>
      </c>
    </row>
    <row r="138" spans="1:5" x14ac:dyDescent="0.25">
      <c r="A138" t="s">
        <v>102</v>
      </c>
      <c r="B138" s="6">
        <v>0.08</v>
      </c>
      <c r="C138" s="34">
        <f>B138*$D$133</f>
        <v>89.396707701026997</v>
      </c>
    </row>
    <row r="139" spans="1:5" x14ac:dyDescent="0.25">
      <c r="A139" t="s">
        <v>141</v>
      </c>
      <c r="B139" s="6">
        <v>0.08</v>
      </c>
      <c r="C139" s="34">
        <f t="shared" ref="C139:C143" si="7">B139*$D$133</f>
        <v>89.396707701026997</v>
      </c>
    </row>
    <row r="140" spans="1:5" x14ac:dyDescent="0.25">
      <c r="A140" t="s">
        <v>140</v>
      </c>
      <c r="B140" s="6">
        <v>0.34</v>
      </c>
      <c r="C140" s="34">
        <f t="shared" si="7"/>
        <v>379.93600772936475</v>
      </c>
    </row>
    <row r="141" spans="1:5" x14ac:dyDescent="0.25">
      <c r="A141" t="s">
        <v>142</v>
      </c>
      <c r="B141" s="6">
        <v>0.08</v>
      </c>
      <c r="C141" s="34">
        <f t="shared" si="7"/>
        <v>89.396707701026997</v>
      </c>
    </row>
    <row r="142" spans="1:5" x14ac:dyDescent="0.25">
      <c r="A142" t="s">
        <v>143</v>
      </c>
      <c r="B142" s="6">
        <v>0.34</v>
      </c>
      <c r="C142" s="34">
        <f t="shared" si="7"/>
        <v>379.93600772936475</v>
      </c>
    </row>
    <row r="143" spans="1:5" x14ac:dyDescent="0.25">
      <c r="A143" t="s">
        <v>144</v>
      </c>
      <c r="B143" s="6">
        <v>0.08</v>
      </c>
      <c r="C143" s="34">
        <f t="shared" si="7"/>
        <v>89.396707701026997</v>
      </c>
    </row>
    <row r="144" spans="1:5" x14ac:dyDescent="0.25">
      <c r="A144" t="s">
        <v>145</v>
      </c>
      <c r="B144" s="7">
        <f>SUM(B138:B143)</f>
        <v>0.99999999999999989</v>
      </c>
      <c r="C144" s="34">
        <f>SUM(C138:C143)</f>
        <v>1117.4588462628376</v>
      </c>
    </row>
    <row r="147" spans="1:7" x14ac:dyDescent="0.25">
      <c r="A147" s="9" t="s">
        <v>299</v>
      </c>
    </row>
    <row r="148" spans="1:7" x14ac:dyDescent="0.25">
      <c r="A148" s="9" t="s">
        <v>242</v>
      </c>
      <c r="B148" s="9" t="s">
        <v>227</v>
      </c>
      <c r="C148" s="31" t="s">
        <v>228</v>
      </c>
      <c r="D148" s="9" t="s">
        <v>229</v>
      </c>
      <c r="E148" s="9" t="s">
        <v>230</v>
      </c>
      <c r="F148" s="9" t="s">
        <v>231</v>
      </c>
      <c r="G148" s="9" t="s">
        <v>244</v>
      </c>
    </row>
    <row r="149" spans="1:7" x14ac:dyDescent="0.25">
      <c r="A149" t="s">
        <v>102</v>
      </c>
      <c r="B149" s="26">
        <v>0.37</v>
      </c>
      <c r="C149" s="6">
        <v>0.37</v>
      </c>
      <c r="D149" s="6">
        <v>0.1</v>
      </c>
      <c r="E149" s="6">
        <v>0.02</v>
      </c>
      <c r="F149" s="7">
        <v>0.14000000000000001</v>
      </c>
      <c r="G149" s="7">
        <f>SUM(B149:F149)</f>
        <v>1</v>
      </c>
    </row>
    <row r="150" spans="1:7" x14ac:dyDescent="0.25">
      <c r="A150" t="s">
        <v>141</v>
      </c>
      <c r="B150" s="32">
        <v>0</v>
      </c>
      <c r="C150" s="7">
        <v>0</v>
      </c>
      <c r="D150" s="7">
        <v>0.95</v>
      </c>
      <c r="E150" s="7">
        <v>0</v>
      </c>
      <c r="F150" s="7">
        <v>0.05</v>
      </c>
      <c r="G150" s="7">
        <f t="shared" ref="G150:G154" si="8">SUM(B150:F150)</f>
        <v>1</v>
      </c>
    </row>
    <row r="151" spans="1:7" x14ac:dyDescent="0.25">
      <c r="A151" t="s">
        <v>140</v>
      </c>
      <c r="B151" s="32">
        <v>0.32</v>
      </c>
      <c r="C151" s="7">
        <v>0.32</v>
      </c>
      <c r="D151" s="7">
        <v>0.32</v>
      </c>
      <c r="E151" s="7">
        <v>0.02</v>
      </c>
      <c r="F151" s="7">
        <v>0.02</v>
      </c>
      <c r="G151" s="7">
        <f t="shared" si="8"/>
        <v>1</v>
      </c>
    </row>
    <row r="152" spans="1:7" x14ac:dyDescent="0.25">
      <c r="A152" t="s">
        <v>142</v>
      </c>
      <c r="B152" s="32">
        <v>0.32</v>
      </c>
      <c r="C152" s="7">
        <v>0.32</v>
      </c>
      <c r="D152" s="7">
        <v>0.32</v>
      </c>
      <c r="E152" s="7">
        <v>0.02</v>
      </c>
      <c r="F152" s="7">
        <v>0.02</v>
      </c>
      <c r="G152" s="7">
        <f t="shared" si="8"/>
        <v>1</v>
      </c>
    </row>
    <row r="153" spans="1:7" x14ac:dyDescent="0.25">
      <c r="A153" t="s">
        <v>143</v>
      </c>
      <c r="B153" s="32">
        <v>0.26</v>
      </c>
      <c r="C153" s="7">
        <v>0.26</v>
      </c>
      <c r="D153" s="7">
        <v>0.1</v>
      </c>
      <c r="E153" s="7">
        <v>0.32</v>
      </c>
      <c r="F153" s="7">
        <v>0.06</v>
      </c>
      <c r="G153" s="7">
        <f t="shared" si="8"/>
        <v>1</v>
      </c>
    </row>
    <row r="154" spans="1:7" x14ac:dyDescent="0.25">
      <c r="A154" t="s">
        <v>144</v>
      </c>
      <c r="B154" s="32">
        <v>0.26</v>
      </c>
      <c r="C154" s="7">
        <v>0.26</v>
      </c>
      <c r="D154" s="7">
        <v>0.1</v>
      </c>
      <c r="E154" s="7">
        <v>0.32</v>
      </c>
      <c r="F154" s="7">
        <v>0.06</v>
      </c>
      <c r="G154" s="7">
        <f t="shared" si="8"/>
        <v>1</v>
      </c>
    </row>
    <row r="155" spans="1:7" x14ac:dyDescent="0.25">
      <c r="A155" t="s">
        <v>245</v>
      </c>
      <c r="B155" s="32">
        <f>SUMPRODUCT(B149:B154, $B$138:$B$143)</f>
        <v>0.27320000000000005</v>
      </c>
      <c r="C155" s="32">
        <f t="shared" ref="C155:F155" si="9">SUMPRODUCT(C149:C154, $B$138:$B$143)</f>
        <v>0.27320000000000005</v>
      </c>
      <c r="D155" s="32">
        <f t="shared" si="9"/>
        <v>0.26040000000000002</v>
      </c>
      <c r="E155" s="32">
        <f t="shared" si="9"/>
        <v>0.14440000000000003</v>
      </c>
      <c r="F155" s="32">
        <f t="shared" si="9"/>
        <v>4.8800000000000003E-2</v>
      </c>
      <c r="G155" s="7">
        <f>SUM(B155:F155)</f>
        <v>1.0000000000000002</v>
      </c>
    </row>
    <row r="156" spans="1:7" x14ac:dyDescent="0.25">
      <c r="A156" s="9" t="s">
        <v>243</v>
      </c>
      <c r="B156" s="9" t="s">
        <v>232</v>
      </c>
      <c r="C156" s="31" t="s">
        <v>233</v>
      </c>
      <c r="D156" s="9" t="s">
        <v>234</v>
      </c>
      <c r="E156" s="9" t="s">
        <v>235</v>
      </c>
      <c r="F156" s="9" t="s">
        <v>236</v>
      </c>
      <c r="G156" s="9" t="s">
        <v>145</v>
      </c>
    </row>
    <row r="157" spans="1:7" x14ac:dyDescent="0.25">
      <c r="A157" t="s">
        <v>102</v>
      </c>
      <c r="B157" s="16">
        <f>ROUND(($C138*B149),0)</f>
        <v>33</v>
      </c>
      <c r="C157" s="16">
        <f t="shared" ref="C157:F157" si="10">ROUND(($C138*C149),0)</f>
        <v>33</v>
      </c>
      <c r="D157" s="16">
        <f t="shared" si="10"/>
        <v>9</v>
      </c>
      <c r="E157" s="16">
        <f t="shared" si="10"/>
        <v>2</v>
      </c>
      <c r="F157" s="16">
        <f t="shared" si="10"/>
        <v>13</v>
      </c>
      <c r="G157" s="16">
        <f>SUM(B157:F157)</f>
        <v>90</v>
      </c>
    </row>
    <row r="158" spans="1:7" x14ac:dyDescent="0.25">
      <c r="A158" t="s">
        <v>141</v>
      </c>
      <c r="B158" s="16">
        <f t="shared" ref="B158:B162" si="11">ROUND(($C139*B150),0)</f>
        <v>0</v>
      </c>
      <c r="C158" s="16">
        <f t="shared" ref="C158:F158" si="12">ROUND(($C139*C150),0)</f>
        <v>0</v>
      </c>
      <c r="D158" s="16">
        <f t="shared" si="12"/>
        <v>85</v>
      </c>
      <c r="E158" s="16">
        <f t="shared" si="12"/>
        <v>0</v>
      </c>
      <c r="F158" s="16">
        <f t="shared" si="12"/>
        <v>4</v>
      </c>
      <c r="G158" s="16">
        <f t="shared" ref="G158:G162" si="13">SUM(B158:F158)</f>
        <v>89</v>
      </c>
    </row>
    <row r="159" spans="1:7" x14ac:dyDescent="0.25">
      <c r="A159" t="s">
        <v>140</v>
      </c>
      <c r="B159" s="16">
        <f t="shared" si="11"/>
        <v>122</v>
      </c>
      <c r="C159" s="16">
        <f t="shared" ref="C159:F159" si="14">ROUND(($C140*C151),0)</f>
        <v>122</v>
      </c>
      <c r="D159" s="16">
        <f t="shared" si="14"/>
        <v>122</v>
      </c>
      <c r="E159" s="16">
        <f t="shared" si="14"/>
        <v>8</v>
      </c>
      <c r="F159" s="16">
        <f t="shared" si="14"/>
        <v>8</v>
      </c>
      <c r="G159" s="16">
        <f t="shared" si="13"/>
        <v>382</v>
      </c>
    </row>
    <row r="160" spans="1:7" x14ac:dyDescent="0.25">
      <c r="A160" t="s">
        <v>142</v>
      </c>
      <c r="B160" s="16">
        <f t="shared" si="11"/>
        <v>29</v>
      </c>
      <c r="C160" s="16">
        <f t="shared" ref="C160:F160" si="15">ROUND(($C141*C152),0)</f>
        <v>29</v>
      </c>
      <c r="D160" s="16">
        <f t="shared" si="15"/>
        <v>29</v>
      </c>
      <c r="E160" s="16">
        <f t="shared" si="15"/>
        <v>2</v>
      </c>
      <c r="F160" s="16">
        <f t="shared" si="15"/>
        <v>2</v>
      </c>
      <c r="G160" s="16">
        <f t="shared" si="13"/>
        <v>91</v>
      </c>
    </row>
    <row r="161" spans="1:7" x14ac:dyDescent="0.25">
      <c r="A161" t="s">
        <v>143</v>
      </c>
      <c r="B161" s="16">
        <f t="shared" si="11"/>
        <v>99</v>
      </c>
      <c r="C161" s="16">
        <f t="shared" ref="C161:F161" si="16">ROUND(($C142*C153),0)</f>
        <v>99</v>
      </c>
      <c r="D161" s="16">
        <f t="shared" si="16"/>
        <v>38</v>
      </c>
      <c r="E161" s="16">
        <f t="shared" si="16"/>
        <v>122</v>
      </c>
      <c r="F161" s="16">
        <f t="shared" si="16"/>
        <v>23</v>
      </c>
      <c r="G161" s="16">
        <f t="shared" si="13"/>
        <v>381</v>
      </c>
    </row>
    <row r="162" spans="1:7" ht="15.75" thickBot="1" x14ac:dyDescent="0.3">
      <c r="A162" t="s">
        <v>144</v>
      </c>
      <c r="B162" s="16">
        <f t="shared" si="11"/>
        <v>23</v>
      </c>
      <c r="C162" s="16">
        <f t="shared" ref="C162:F162" si="17">ROUND(($C143*C154),0)</f>
        <v>23</v>
      </c>
      <c r="D162" s="16">
        <f t="shared" si="17"/>
        <v>9</v>
      </c>
      <c r="E162" s="16">
        <f t="shared" si="17"/>
        <v>29</v>
      </c>
      <c r="F162" s="16">
        <f t="shared" si="17"/>
        <v>5</v>
      </c>
      <c r="G162" s="16">
        <f t="shared" si="13"/>
        <v>89</v>
      </c>
    </row>
    <row r="163" spans="1:7" ht="15.75" thickBot="1" x14ac:dyDescent="0.3">
      <c r="A163" t="s">
        <v>16</v>
      </c>
      <c r="B163" s="67">
        <f t="shared" ref="B163:G163" si="18">SUM(B157:B162)</f>
        <v>306</v>
      </c>
      <c r="C163" s="68">
        <f t="shared" si="18"/>
        <v>306</v>
      </c>
      <c r="D163" s="68">
        <f t="shared" si="18"/>
        <v>292</v>
      </c>
      <c r="E163" s="68">
        <f t="shared" si="18"/>
        <v>163</v>
      </c>
      <c r="F163" s="69">
        <f t="shared" si="18"/>
        <v>55</v>
      </c>
      <c r="G163" s="50">
        <f t="shared" si="18"/>
        <v>1122</v>
      </c>
    </row>
    <row r="164" spans="1:7" x14ac:dyDescent="0.25">
      <c r="A164" s="9" t="s">
        <v>246</v>
      </c>
      <c r="B164" s="9" t="s">
        <v>232</v>
      </c>
      <c r="C164" s="31" t="s">
        <v>233</v>
      </c>
      <c r="D164" s="9" t="s">
        <v>234</v>
      </c>
      <c r="E164" s="9" t="s">
        <v>235</v>
      </c>
      <c r="F164" s="9" t="s">
        <v>236</v>
      </c>
      <c r="G164" s="9" t="s">
        <v>145</v>
      </c>
    </row>
    <row r="165" spans="1:7" x14ac:dyDescent="0.25">
      <c r="A165" t="s">
        <v>102</v>
      </c>
      <c r="B165" s="41">
        <f>(B157*$B$110)*(1+$E$185)</f>
        <v>3712.5</v>
      </c>
      <c r="C165" s="41">
        <f>(C157*$C$110)*(1+$E$185)</f>
        <v>3712.5</v>
      </c>
      <c r="D165" s="41">
        <f>(D157*$D$110)*(1+$E$185)</f>
        <v>1053</v>
      </c>
      <c r="E165" s="41">
        <f>(E157*$E$110)*(1+$E$185)</f>
        <v>234</v>
      </c>
      <c r="F165" s="41">
        <f>(F157*$F$110)*(1+$E$185)</f>
        <v>1998.75</v>
      </c>
      <c r="G165" s="41">
        <f>SUM(B165:F165)</f>
        <v>10710.75</v>
      </c>
    </row>
    <row r="166" spans="1:7" x14ac:dyDescent="0.25">
      <c r="A166" t="s">
        <v>141</v>
      </c>
      <c r="B166" s="41">
        <f>(B158*$B$110)*(1+$E$185)</f>
        <v>0</v>
      </c>
      <c r="C166" s="41">
        <f>(C158*$C$110)*(1+$E$185)</f>
        <v>0</v>
      </c>
      <c r="D166" s="41">
        <f>(D158*$D$110)*(1+$E$185)</f>
        <v>9945</v>
      </c>
      <c r="E166" s="41">
        <f>(E158*$E$110)*(1+$E$185)</f>
        <v>0</v>
      </c>
      <c r="F166" s="41">
        <f>(F158*$F$110)*(1+$E$185)</f>
        <v>615</v>
      </c>
      <c r="G166" s="41">
        <f t="shared" ref="G166:G170" si="19">SUM(B166:F166)</f>
        <v>10560</v>
      </c>
    </row>
    <row r="167" spans="1:7" x14ac:dyDescent="0.25">
      <c r="A167" t="s">
        <v>140</v>
      </c>
      <c r="B167" s="41">
        <f>(B159*$B$110)*(1+$E$185)</f>
        <v>13725</v>
      </c>
      <c r="C167" s="41">
        <f>(C159*$C$110)*(1+$E$185)</f>
        <v>13725</v>
      </c>
      <c r="D167" s="41">
        <f>(D159*$D$110)*(1+$E$185)</f>
        <v>14274</v>
      </c>
      <c r="E167" s="41">
        <f>(E159*$E$110)*(1+$E$185)</f>
        <v>936</v>
      </c>
      <c r="F167" s="41">
        <f>(F159*$F$110)*(1+$E$185)</f>
        <v>1230</v>
      </c>
      <c r="G167" s="41">
        <f t="shared" si="19"/>
        <v>43890</v>
      </c>
    </row>
    <row r="168" spans="1:7" x14ac:dyDescent="0.25">
      <c r="A168" t="s">
        <v>142</v>
      </c>
      <c r="B168" s="41">
        <f>(B160*$B$110)*(1+$E$185)</f>
        <v>3262.5</v>
      </c>
      <c r="C168" s="41">
        <f>(C160*$C$110)*(1+$E$185)</f>
        <v>3262.5</v>
      </c>
      <c r="D168" s="41">
        <f>(D160*$D$110)*(1+$E$185)</f>
        <v>3393</v>
      </c>
      <c r="E168" s="41">
        <f>(E160*$E$110)*(1+$E$185)</f>
        <v>234</v>
      </c>
      <c r="F168" s="41">
        <f>(F160*$F$110)*(1+$E$185)</f>
        <v>307.5</v>
      </c>
      <c r="G168" s="41">
        <f t="shared" si="19"/>
        <v>10459.5</v>
      </c>
    </row>
    <row r="169" spans="1:7" x14ac:dyDescent="0.25">
      <c r="A169" t="s">
        <v>143</v>
      </c>
      <c r="B169" s="41">
        <f>(B161*$B$110)*(1+$E$185)</f>
        <v>11137.5</v>
      </c>
      <c r="C169" s="41">
        <f>(C161*$C$110)*(1+$E$185)</f>
        <v>11137.5</v>
      </c>
      <c r="D169" s="41">
        <f>(D161*$D$110)*(1+$E$185)</f>
        <v>4446</v>
      </c>
      <c r="E169" s="41">
        <f>(E161*$E$110)*(1+$E$185)</f>
        <v>14274</v>
      </c>
      <c r="F169" s="41">
        <f>(F161*$F$110)*(1+$E$185)</f>
        <v>3536.25</v>
      </c>
      <c r="G169" s="41">
        <f t="shared" si="19"/>
        <v>44531.25</v>
      </c>
    </row>
    <row r="170" spans="1:7" ht="15.75" thickBot="1" x14ac:dyDescent="0.3">
      <c r="A170" t="s">
        <v>144</v>
      </c>
      <c r="B170" s="41">
        <f>(B162*$B$110)*(1+$E$185)</f>
        <v>2587.5</v>
      </c>
      <c r="C170" s="41">
        <f>(C162*$C$110)*(1+$E$185)</f>
        <v>2587.5</v>
      </c>
      <c r="D170" s="41">
        <f>(D162*$D$110)*(1+$E$185)</f>
        <v>1053</v>
      </c>
      <c r="E170" s="41">
        <f>(E162*$E$110)*(1+$E$185)</f>
        <v>3393</v>
      </c>
      <c r="F170" s="41">
        <f>(F162*$F$110)*(1+$E$185)</f>
        <v>768.75</v>
      </c>
      <c r="G170" s="41">
        <f t="shared" si="19"/>
        <v>10389.75</v>
      </c>
    </row>
    <row r="171" spans="1:7" ht="15.75" thickBot="1" x14ac:dyDescent="0.3">
      <c r="A171" t="s">
        <v>16</v>
      </c>
      <c r="B171" s="41">
        <f>SUM(B165:B170)</f>
        <v>34425</v>
      </c>
      <c r="C171" s="41">
        <f t="shared" ref="C171:F171" si="20">SUM(C165:C170)</f>
        <v>34425</v>
      </c>
      <c r="D171" s="41">
        <f t="shared" si="20"/>
        <v>34164</v>
      </c>
      <c r="E171" s="41">
        <f t="shared" si="20"/>
        <v>19071</v>
      </c>
      <c r="F171" s="41">
        <f t="shared" si="20"/>
        <v>8456.25</v>
      </c>
      <c r="G171" s="48">
        <f>SUM(G165:G170)</f>
        <v>130541.25</v>
      </c>
    </row>
    <row r="172" spans="1:7" x14ac:dyDescent="0.25">
      <c r="A172" s="9" t="s">
        <v>299</v>
      </c>
    </row>
    <row r="173" spans="1:7" x14ac:dyDescent="0.25">
      <c r="A173" s="9" t="s">
        <v>249</v>
      </c>
      <c r="B173" t="s">
        <v>256</v>
      </c>
      <c r="C173" s="8" t="s">
        <v>252</v>
      </c>
      <c r="D173" t="s">
        <v>253</v>
      </c>
      <c r="E173" t="s">
        <v>113</v>
      </c>
      <c r="F173" t="s">
        <v>262</v>
      </c>
      <c r="G173" t="s">
        <v>263</v>
      </c>
    </row>
    <row r="174" spans="1:7" x14ac:dyDescent="0.25">
      <c r="A174" t="s">
        <v>250</v>
      </c>
      <c r="B174" s="6">
        <f>E174/$B$22</f>
        <v>0.16602238827936946</v>
      </c>
      <c r="C174" s="4">
        <f>E174/(B7+B8)</f>
        <v>48.561548571715569</v>
      </c>
      <c r="D174" s="16">
        <f>F95</f>
        <v>1184.4280139442822</v>
      </c>
      <c r="E174" s="42">
        <f>E95</f>
        <v>194246.19428686227</v>
      </c>
      <c r="F174" s="6">
        <f>(E174-E175)/E174</f>
        <v>0.10394640863359191</v>
      </c>
      <c r="G174" s="5">
        <f>E174*(F174)</f>
        <v>20191.194286862272</v>
      </c>
    </row>
    <row r="175" spans="1:7" x14ac:dyDescent="0.25">
      <c r="A175" t="s">
        <v>257</v>
      </c>
      <c r="B175" s="6">
        <f>E175/$B$22</f>
        <v>0.14876495726495725</v>
      </c>
      <c r="C175" s="4">
        <f>E175/($B$8+$B$9)</f>
        <v>58.564939434724089</v>
      </c>
      <c r="D175" s="16">
        <f>G163</f>
        <v>1122</v>
      </c>
      <c r="E175" s="42">
        <f>B163*B110+C163*C110+D163*D110+E163*E110+F163*F110</f>
        <v>174055</v>
      </c>
      <c r="F175" s="6">
        <f>(E175-E174)/E175</f>
        <v>-0.11600467833077058</v>
      </c>
      <c r="G175" s="5">
        <f>E175*(F175)</f>
        <v>-20191.194286862272</v>
      </c>
    </row>
    <row r="178" spans="1:12" x14ac:dyDescent="0.25">
      <c r="B178" s="6"/>
      <c r="C178" s="4"/>
      <c r="D178" s="16"/>
      <c r="E178" s="42"/>
      <c r="F178" s="6"/>
      <c r="G178" s="5"/>
    </row>
    <row r="179" spans="1:12" x14ac:dyDescent="0.25">
      <c r="B179" s="6"/>
      <c r="C179" s="4"/>
      <c r="D179" s="16"/>
      <c r="E179" s="42"/>
      <c r="F179" s="6"/>
      <c r="G179" s="5"/>
    </row>
    <row r="180" spans="1:12" x14ac:dyDescent="0.25">
      <c r="A180" s="9" t="s">
        <v>266</v>
      </c>
      <c r="B180" s="9"/>
      <c r="C180" s="31"/>
      <c r="D180" s="9"/>
      <c r="E180" s="46">
        <f>MAX(E174:E175)</f>
        <v>194246.19428686227</v>
      </c>
    </row>
    <row r="181" spans="1:12" x14ac:dyDescent="0.25">
      <c r="A181" t="s">
        <v>270</v>
      </c>
      <c r="E181" s="42">
        <f>-E180+E182</f>
        <v>-10095.597143431136</v>
      </c>
      <c r="F181" s="5"/>
    </row>
    <row r="182" spans="1:12" x14ac:dyDescent="0.25">
      <c r="A182" t="s">
        <v>267</v>
      </c>
      <c r="B182" s="6">
        <f>E182/$B$22</f>
        <v>0.15739367277216337</v>
      </c>
      <c r="D182" s="30">
        <f>E180/G110</f>
        <v>1184.4280139442822</v>
      </c>
      <c r="E182" s="42">
        <f>AVERAGE(E174:E175)</f>
        <v>184150.59714343114</v>
      </c>
    </row>
    <row r="183" spans="1:12" x14ac:dyDescent="0.25">
      <c r="A183" t="s">
        <v>268</v>
      </c>
      <c r="E183" s="6">
        <f>(1-E182/E180)</f>
        <v>5.1973204316795973E-2</v>
      </c>
    </row>
    <row r="184" spans="1:12" x14ac:dyDescent="0.25">
      <c r="A184" t="s">
        <v>271</v>
      </c>
      <c r="E184" s="51">
        <v>0.25</v>
      </c>
    </row>
    <row r="185" spans="1:12" x14ac:dyDescent="0.25">
      <c r="A185" t="s">
        <v>272</v>
      </c>
      <c r="E185" s="27">
        <f>-MAX(E183:E184)</f>
        <v>-0.25</v>
      </c>
      <c r="L185" s="5"/>
    </row>
    <row r="186" spans="1:12" x14ac:dyDescent="0.25">
      <c r="A186" s="9" t="s">
        <v>266</v>
      </c>
      <c r="E186" s="42">
        <f>E180</f>
        <v>194246.19428686227</v>
      </c>
      <c r="L186" s="5"/>
    </row>
    <row r="187" spans="1:12" ht="15.75" thickBot="1" x14ac:dyDescent="0.3">
      <c r="A187" t="s">
        <v>296</v>
      </c>
      <c r="E187" s="42">
        <f>E188-E180</f>
        <v>-63704.944286862272</v>
      </c>
      <c r="L187" s="5"/>
    </row>
    <row r="188" spans="1:12" ht="15.75" thickBot="1" x14ac:dyDescent="0.3">
      <c r="A188" s="52" t="s">
        <v>269</v>
      </c>
      <c r="B188" s="54">
        <f>E188/$B$22</f>
        <v>0.11157371794871795</v>
      </c>
      <c r="C188" s="55">
        <f>E188/($B$8+$B$9)</f>
        <v>43.923704576043072</v>
      </c>
      <c r="D188" s="56">
        <f>E188/G110</f>
        <v>795.98323170731703</v>
      </c>
      <c r="E188" s="61">
        <f>G171</f>
        <v>130541.25</v>
      </c>
      <c r="L188" s="5"/>
    </row>
    <row r="189" spans="1:12" x14ac:dyDescent="0.25">
      <c r="A189" s="9"/>
      <c r="B189" s="9"/>
      <c r="C189" s="31"/>
      <c r="D189" s="9"/>
      <c r="E189" s="46"/>
    </row>
    <row r="190" spans="1:12" x14ac:dyDescent="0.25">
      <c r="A190" s="9" t="s">
        <v>273</v>
      </c>
    </row>
    <row r="191" spans="1:12" x14ac:dyDescent="0.25">
      <c r="A191" t="s">
        <v>102</v>
      </c>
      <c r="B191" s="6">
        <v>0.08</v>
      </c>
      <c r="C191" s="53">
        <f t="shared" ref="C191:C196" si="21">$D$188*B191</f>
        <v>63.678658536585367</v>
      </c>
      <c r="L191" s="5"/>
    </row>
    <row r="192" spans="1:12" x14ac:dyDescent="0.25">
      <c r="A192" t="s">
        <v>141</v>
      </c>
      <c r="B192" s="6">
        <v>0.08</v>
      </c>
      <c r="C192" s="53">
        <f t="shared" si="21"/>
        <v>63.678658536585367</v>
      </c>
    </row>
    <row r="193" spans="1:14" x14ac:dyDescent="0.25">
      <c r="A193" t="s">
        <v>140</v>
      </c>
      <c r="B193" s="6">
        <v>0.34</v>
      </c>
      <c r="C193" s="53">
        <f t="shared" si="21"/>
        <v>270.63429878048782</v>
      </c>
      <c r="G193" s="5"/>
    </row>
    <row r="194" spans="1:14" x14ac:dyDescent="0.25">
      <c r="A194" t="s">
        <v>142</v>
      </c>
      <c r="B194" s="6">
        <v>0.08</v>
      </c>
      <c r="C194" s="53">
        <f t="shared" si="21"/>
        <v>63.678658536585367</v>
      </c>
      <c r="L194" s="5"/>
    </row>
    <row r="195" spans="1:14" x14ac:dyDescent="0.25">
      <c r="A195" t="s">
        <v>143</v>
      </c>
      <c r="B195" s="6">
        <v>0.34</v>
      </c>
      <c r="C195" s="53">
        <f t="shared" si="21"/>
        <v>270.63429878048782</v>
      </c>
      <c r="L195" s="5"/>
    </row>
    <row r="196" spans="1:14" ht="15.75" thickBot="1" x14ac:dyDescent="0.3">
      <c r="A196" t="s">
        <v>144</v>
      </c>
      <c r="B196" s="6">
        <v>0.08</v>
      </c>
      <c r="C196" s="53">
        <f t="shared" si="21"/>
        <v>63.678658536585367</v>
      </c>
      <c r="L196" s="5"/>
    </row>
    <row r="197" spans="1:14" ht="15.75" thickBot="1" x14ac:dyDescent="0.3">
      <c r="A197" s="57" t="s">
        <v>145</v>
      </c>
      <c r="B197" s="58">
        <f>SUM(B191:B196)</f>
        <v>0.99999999999999989</v>
      </c>
      <c r="C197" s="62">
        <f>SUM(C191:C196)</f>
        <v>795.98323170731715</v>
      </c>
      <c r="D197" s="59"/>
      <c r="E197" s="60"/>
      <c r="L197" s="5"/>
    </row>
    <row r="198" spans="1:14" x14ac:dyDescent="0.25">
      <c r="B198" s="7"/>
      <c r="C198" s="53"/>
      <c r="L198" s="5"/>
    </row>
    <row r="199" spans="1:14" x14ac:dyDescent="0.25">
      <c r="A199" s="9" t="s">
        <v>274</v>
      </c>
      <c r="B199" s="9" t="s">
        <v>232</v>
      </c>
      <c r="C199" s="31" t="s">
        <v>233</v>
      </c>
      <c r="D199" s="9" t="s">
        <v>234</v>
      </c>
      <c r="E199" s="9" t="s">
        <v>235</v>
      </c>
      <c r="F199" s="9" t="s">
        <v>236</v>
      </c>
      <c r="G199" s="9" t="s">
        <v>145</v>
      </c>
    </row>
    <row r="200" spans="1:14" x14ac:dyDescent="0.25">
      <c r="A200" t="s">
        <v>102</v>
      </c>
      <c r="B200" s="16">
        <f t="shared" ref="B200:B205" si="22">ROUND(($C191*B149),0)</f>
        <v>24</v>
      </c>
      <c r="C200" s="16">
        <f t="shared" ref="C200:F200" si="23">ROUND(($C191*C149),0)</f>
        <v>24</v>
      </c>
      <c r="D200" s="16">
        <f t="shared" si="23"/>
        <v>6</v>
      </c>
      <c r="E200" s="16">
        <f t="shared" si="23"/>
        <v>1</v>
      </c>
      <c r="F200" s="16">
        <f t="shared" si="23"/>
        <v>9</v>
      </c>
      <c r="G200" s="16">
        <f>SUM(B200:F200)</f>
        <v>64</v>
      </c>
    </row>
    <row r="201" spans="1:14" x14ac:dyDescent="0.25">
      <c r="A201" t="s">
        <v>141</v>
      </c>
      <c r="B201" s="16">
        <f t="shared" si="22"/>
        <v>0</v>
      </c>
      <c r="C201" s="16">
        <f t="shared" ref="C201:F205" si="24">ROUND(($C192*C150),0)</f>
        <v>0</v>
      </c>
      <c r="D201" s="16">
        <f t="shared" si="24"/>
        <v>60</v>
      </c>
      <c r="E201" s="16">
        <f t="shared" si="24"/>
        <v>0</v>
      </c>
      <c r="F201" s="16">
        <f t="shared" si="24"/>
        <v>3</v>
      </c>
      <c r="G201" s="16">
        <f t="shared" ref="G201:G204" si="25">SUM(B201:F201)</f>
        <v>63</v>
      </c>
    </row>
    <row r="202" spans="1:14" x14ac:dyDescent="0.25">
      <c r="A202" t="s">
        <v>140</v>
      </c>
      <c r="B202" s="16">
        <f t="shared" si="22"/>
        <v>87</v>
      </c>
      <c r="C202" s="16">
        <f t="shared" si="24"/>
        <v>87</v>
      </c>
      <c r="D202" s="16">
        <f t="shared" si="24"/>
        <v>87</v>
      </c>
      <c r="E202" s="16">
        <f t="shared" si="24"/>
        <v>5</v>
      </c>
      <c r="F202" s="16">
        <f t="shared" si="24"/>
        <v>5</v>
      </c>
      <c r="G202" s="16">
        <f t="shared" si="25"/>
        <v>271</v>
      </c>
    </row>
    <row r="203" spans="1:14" x14ac:dyDescent="0.25">
      <c r="A203" t="s">
        <v>142</v>
      </c>
      <c r="B203" s="16">
        <f t="shared" si="22"/>
        <v>20</v>
      </c>
      <c r="C203" s="16">
        <f t="shared" si="24"/>
        <v>20</v>
      </c>
      <c r="D203" s="16">
        <f t="shared" si="24"/>
        <v>20</v>
      </c>
      <c r="E203" s="16">
        <f t="shared" si="24"/>
        <v>1</v>
      </c>
      <c r="F203" s="16">
        <f t="shared" si="24"/>
        <v>1</v>
      </c>
      <c r="G203" s="16">
        <f t="shared" si="25"/>
        <v>62</v>
      </c>
    </row>
    <row r="204" spans="1:14" x14ac:dyDescent="0.25">
      <c r="A204" t="s">
        <v>143</v>
      </c>
      <c r="B204" s="16">
        <f t="shared" si="22"/>
        <v>70</v>
      </c>
      <c r="C204" s="16">
        <f t="shared" si="24"/>
        <v>70</v>
      </c>
      <c r="D204" s="16">
        <f t="shared" si="24"/>
        <v>27</v>
      </c>
      <c r="E204" s="16">
        <f t="shared" si="24"/>
        <v>87</v>
      </c>
      <c r="F204" s="16">
        <f t="shared" si="24"/>
        <v>16</v>
      </c>
      <c r="G204" s="16">
        <f t="shared" si="25"/>
        <v>270</v>
      </c>
    </row>
    <row r="205" spans="1:14" ht="15.75" thickBot="1" x14ac:dyDescent="0.3">
      <c r="A205" t="s">
        <v>144</v>
      </c>
      <c r="B205" s="16">
        <f t="shared" si="22"/>
        <v>17</v>
      </c>
      <c r="C205" s="16">
        <f t="shared" si="24"/>
        <v>17</v>
      </c>
      <c r="D205" s="16">
        <f t="shared" si="24"/>
        <v>6</v>
      </c>
      <c r="E205" s="16">
        <f t="shared" si="24"/>
        <v>20</v>
      </c>
      <c r="F205" s="16">
        <f t="shared" si="24"/>
        <v>4</v>
      </c>
      <c r="G205" s="16">
        <f>SUM(B205:F205)</f>
        <v>64</v>
      </c>
    </row>
    <row r="206" spans="1:14" ht="15.75" thickBot="1" x14ac:dyDescent="0.3">
      <c r="A206" s="9" t="s">
        <v>16</v>
      </c>
      <c r="B206" s="70">
        <f t="shared" ref="B206:G206" si="26">SUM(B200:B205)</f>
        <v>218</v>
      </c>
      <c r="C206" s="71">
        <f t="shared" si="26"/>
        <v>218</v>
      </c>
      <c r="D206" s="71">
        <f t="shared" si="26"/>
        <v>206</v>
      </c>
      <c r="E206" s="71">
        <f t="shared" si="26"/>
        <v>114</v>
      </c>
      <c r="F206" s="72">
        <f t="shared" si="26"/>
        <v>38</v>
      </c>
      <c r="G206" s="50">
        <f t="shared" si="26"/>
        <v>794</v>
      </c>
      <c r="N206" s="19"/>
    </row>
    <row r="208" spans="1:14" x14ac:dyDescent="0.25">
      <c r="A208" s="9" t="s">
        <v>277</v>
      </c>
    </row>
    <row r="209" spans="1:3" x14ac:dyDescent="0.25">
      <c r="A209" s="9" t="s">
        <v>210</v>
      </c>
      <c r="B209" s="5">
        <f>$E$188*B122</f>
        <v>1681.246664632904</v>
      </c>
    </row>
    <row r="210" spans="1:3" x14ac:dyDescent="0.25">
      <c r="A210" t="s">
        <v>211</v>
      </c>
      <c r="B210" s="5">
        <f>$E$188*B123</f>
        <v>1273.8320238062315</v>
      </c>
    </row>
    <row r="211" spans="1:3" x14ac:dyDescent="0.25">
      <c r="A211" t="s">
        <v>282</v>
      </c>
      <c r="B211" s="5">
        <f>$E$188*B124</f>
        <v>43852.219679696544</v>
      </c>
    </row>
    <row r="212" spans="1:3" x14ac:dyDescent="0.25">
      <c r="A212" t="s">
        <v>137</v>
      </c>
      <c r="B212" s="5">
        <f>$E$188*B125</f>
        <v>32629.721069033199</v>
      </c>
    </row>
    <row r="213" spans="1:3" x14ac:dyDescent="0.25">
      <c r="A213" t="s">
        <v>10</v>
      </c>
      <c r="B213" s="5">
        <f>$E$188*B126</f>
        <v>15767.493298182619</v>
      </c>
    </row>
    <row r="214" spans="1:3" x14ac:dyDescent="0.25">
      <c r="A214" t="s">
        <v>12</v>
      </c>
      <c r="B214" s="5">
        <f>$E$188*B127</f>
        <v>13595.403820909807</v>
      </c>
    </row>
    <row r="215" spans="1:3" x14ac:dyDescent="0.25">
      <c r="A215" t="s">
        <v>11</v>
      </c>
      <c r="B215" s="5">
        <f>$E$188*B128</f>
        <v>4926.5616764059532</v>
      </c>
    </row>
    <row r="216" spans="1:3" x14ac:dyDescent="0.25">
      <c r="A216" t="s">
        <v>283</v>
      </c>
      <c r="B216" s="5">
        <f>$E$188*B129</f>
        <v>5500.6222343507861</v>
      </c>
    </row>
    <row r="217" spans="1:3" x14ac:dyDescent="0.25">
      <c r="A217" t="s">
        <v>57</v>
      </c>
      <c r="B217" s="5">
        <f>$E$188*B130</f>
        <v>4632.3343040139971</v>
      </c>
    </row>
    <row r="218" spans="1:3" x14ac:dyDescent="0.25">
      <c r="A218" t="s">
        <v>15</v>
      </c>
      <c r="B218" s="5">
        <f>$E$188*B131</f>
        <v>4024.2138852145258</v>
      </c>
    </row>
    <row r="219" spans="1:3" x14ac:dyDescent="0.25">
      <c r="A219" t="s">
        <v>207</v>
      </c>
      <c r="B219" s="5">
        <f>$E$188*B132</f>
        <v>2657.6013437534148</v>
      </c>
    </row>
    <row r="220" spans="1:3" x14ac:dyDescent="0.25">
      <c r="B220" s="5"/>
    </row>
    <row r="221" spans="1:3" x14ac:dyDescent="0.25">
      <c r="A221" s="9" t="s">
        <v>290</v>
      </c>
    </row>
    <row r="222" spans="1:3" x14ac:dyDescent="0.25">
      <c r="A222" t="s">
        <v>284</v>
      </c>
      <c r="C222" s="42">
        <f>D95</f>
        <v>215346.00395014652</v>
      </c>
    </row>
    <row r="223" spans="1:3" x14ac:dyDescent="0.25">
      <c r="C223" s="42"/>
    </row>
    <row r="224" spans="1:3" x14ac:dyDescent="0.25">
      <c r="A224" t="s">
        <v>295</v>
      </c>
      <c r="C224" s="42">
        <f>E180</f>
        <v>194246.19428686227</v>
      </c>
    </row>
    <row r="225" spans="1:3" x14ac:dyDescent="0.25">
      <c r="A225" t="s">
        <v>289</v>
      </c>
      <c r="C225" s="42">
        <f>E187</f>
        <v>-63704.944286862272</v>
      </c>
    </row>
    <row r="226" spans="1:3" x14ac:dyDescent="0.25">
      <c r="A226" s="9" t="s">
        <v>285</v>
      </c>
      <c r="B226" s="9"/>
      <c r="C226" s="46">
        <f>E188</f>
        <v>130541.25</v>
      </c>
    </row>
    <row r="228" spans="1:3" x14ac:dyDescent="0.25">
      <c r="A228" t="s">
        <v>287</v>
      </c>
      <c r="C228"/>
    </row>
    <row r="229" spans="1:3" x14ac:dyDescent="0.25">
      <c r="A229" t="s">
        <v>281</v>
      </c>
      <c r="C229" s="5">
        <f>B209+B210</f>
        <v>2955.0786884391355</v>
      </c>
    </row>
    <row r="230" spans="1:3" x14ac:dyDescent="0.25">
      <c r="A230" t="s">
        <v>282</v>
      </c>
      <c r="C230" s="5">
        <f>B211</f>
        <v>43852.219679696544</v>
      </c>
    </row>
    <row r="231" spans="1:3" x14ac:dyDescent="0.25">
      <c r="A231" t="s">
        <v>137</v>
      </c>
      <c r="C231" s="5">
        <f>B212</f>
        <v>32629.721069033199</v>
      </c>
    </row>
    <row r="232" spans="1:3" x14ac:dyDescent="0.25">
      <c r="A232" t="s">
        <v>10</v>
      </c>
      <c r="C232" s="5">
        <f>B213</f>
        <v>15767.493298182619</v>
      </c>
    </row>
    <row r="233" spans="1:3" x14ac:dyDescent="0.25">
      <c r="A233" t="s">
        <v>12</v>
      </c>
      <c r="C233" s="5">
        <f>B214</f>
        <v>13595.403820909807</v>
      </c>
    </row>
    <row r="234" spans="1:3" x14ac:dyDescent="0.25">
      <c r="A234" t="s">
        <v>11</v>
      </c>
      <c r="C234" s="5">
        <f>B215</f>
        <v>4926.5616764059532</v>
      </c>
    </row>
    <row r="235" spans="1:3" x14ac:dyDescent="0.25">
      <c r="A235" t="s">
        <v>15</v>
      </c>
      <c r="C235" s="5">
        <f>B218</f>
        <v>4024.2138852145258</v>
      </c>
    </row>
    <row r="236" spans="1:3" x14ac:dyDescent="0.25">
      <c r="C236"/>
    </row>
    <row r="237" spans="1:3" x14ac:dyDescent="0.25">
      <c r="A237" t="s">
        <v>286</v>
      </c>
      <c r="C237"/>
    </row>
    <row r="238" spans="1:3" x14ac:dyDescent="0.25">
      <c r="A238" t="s">
        <v>281</v>
      </c>
      <c r="C238" s="5">
        <f>C229</f>
        <v>2955.0786884391355</v>
      </c>
    </row>
    <row r="239" spans="1:3" x14ac:dyDescent="0.25">
      <c r="A239" t="s">
        <v>278</v>
      </c>
      <c r="C239" s="5">
        <f>C230+C233+C234+C235</f>
        <v>66398.399062226832</v>
      </c>
    </row>
    <row r="240" spans="1:3" x14ac:dyDescent="0.25">
      <c r="A240" t="s">
        <v>279</v>
      </c>
      <c r="C240" s="5">
        <f>C231</f>
        <v>32629.721069033199</v>
      </c>
    </row>
    <row r="241" spans="1:3" x14ac:dyDescent="0.25">
      <c r="A241" t="s">
        <v>280</v>
      </c>
      <c r="C241" s="5">
        <f>C232</f>
        <v>15767.493298182619</v>
      </c>
    </row>
    <row r="244" spans="1:3" x14ac:dyDescent="0.25">
      <c r="A244" t="s">
        <v>293</v>
      </c>
      <c r="C244" s="53">
        <f>G163</f>
        <v>1122</v>
      </c>
    </row>
    <row r="245" spans="1:3" x14ac:dyDescent="0.25">
      <c r="A245" t="s">
        <v>291</v>
      </c>
      <c r="C245" s="4">
        <f>$G$163*G106</f>
        <v>40088.925144230765</v>
      </c>
    </row>
    <row r="246" spans="1:3" x14ac:dyDescent="0.25">
      <c r="A246" t="s">
        <v>292</v>
      </c>
      <c r="C246" s="65">
        <f>G163*G107</f>
        <v>51725.799754613974</v>
      </c>
    </row>
    <row r="247" spans="1:3" x14ac:dyDescent="0.25">
      <c r="A247" t="s">
        <v>294</v>
      </c>
      <c r="C247" s="66">
        <f>C226-C245-C246</f>
        <v>38726.525101155254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zoomScale="145" zoomScaleNormal="145" workbookViewId="0">
      <selection activeCell="F3" sqref="F3:G3"/>
    </sheetView>
  </sheetViews>
  <sheetFormatPr defaultRowHeight="15" x14ac:dyDescent="0.25"/>
  <cols>
    <col min="1" max="1" width="40" customWidth="1"/>
    <col min="2" max="2" width="53.7109375" customWidth="1"/>
    <col min="3" max="10" width="20" customWidth="1"/>
    <col min="11" max="11" width="15.28515625" customWidth="1"/>
  </cols>
  <sheetData>
    <row r="1" spans="1:1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1" x14ac:dyDescent="0.25">
      <c r="A2" t="s">
        <v>31</v>
      </c>
      <c r="B2" t="s">
        <v>32</v>
      </c>
      <c r="C2">
        <v>1</v>
      </c>
      <c r="D2">
        <v>150</v>
      </c>
      <c r="E2">
        <v>120</v>
      </c>
      <c r="F2">
        <v>300</v>
      </c>
      <c r="G2">
        <v>320</v>
      </c>
      <c r="H2" s="6">
        <v>0.72</v>
      </c>
      <c r="I2" s="6">
        <v>0.18</v>
      </c>
      <c r="J2" s="6">
        <v>0.1</v>
      </c>
      <c r="K2" s="7">
        <f>SUM(H2:J2)</f>
        <v>0.99999999999999989</v>
      </c>
    </row>
    <row r="3" spans="1:11" x14ac:dyDescent="0.25">
      <c r="A3" t="s">
        <v>33</v>
      </c>
      <c r="B3" t="s">
        <v>32</v>
      </c>
      <c r="C3">
        <v>2</v>
      </c>
      <c r="D3">
        <v>120</v>
      </c>
      <c r="E3">
        <v>135</v>
      </c>
      <c r="F3">
        <v>340</v>
      </c>
      <c r="G3">
        <v>360</v>
      </c>
      <c r="H3" s="6">
        <v>0.69</v>
      </c>
      <c r="I3" s="6">
        <v>0.2</v>
      </c>
      <c r="J3" s="6">
        <v>0.11</v>
      </c>
      <c r="K3" s="7">
        <f>SUM(H3:J3)</f>
        <v>0.99999999999999989</v>
      </c>
    </row>
    <row r="4" spans="1:11" x14ac:dyDescent="0.25">
      <c r="A4" t="s">
        <v>34</v>
      </c>
      <c r="B4" t="s">
        <v>32</v>
      </c>
      <c r="C4">
        <v>3</v>
      </c>
      <c r="D4">
        <v>135</v>
      </c>
      <c r="E4">
        <v>150</v>
      </c>
      <c r="F4">
        <v>380</v>
      </c>
      <c r="G4">
        <v>400</v>
      </c>
      <c r="H4" s="6">
        <v>0.66</v>
      </c>
      <c r="I4" s="6">
        <v>0.22</v>
      </c>
      <c r="J4" s="6">
        <v>0.12</v>
      </c>
      <c r="K4" s="7">
        <f>SUM(H4:J4)</f>
        <v>1</v>
      </c>
    </row>
    <row r="5" spans="1:11" x14ac:dyDescent="0.25">
      <c r="A5" t="s">
        <v>27</v>
      </c>
      <c r="B5" t="s">
        <v>28</v>
      </c>
      <c r="C5">
        <v>1</v>
      </c>
      <c r="D5">
        <v>250</v>
      </c>
      <c r="E5">
        <v>300</v>
      </c>
      <c r="F5">
        <v>400</v>
      </c>
      <c r="G5">
        <v>500</v>
      </c>
      <c r="H5" s="6">
        <v>0.72</v>
      </c>
      <c r="I5" s="6">
        <v>0.18</v>
      </c>
      <c r="J5" s="6">
        <v>0.1</v>
      </c>
      <c r="K5" s="7">
        <f>SUM(H5:J5)</f>
        <v>0.99999999999999989</v>
      </c>
    </row>
    <row r="6" spans="1:11" x14ac:dyDescent="0.25">
      <c r="A6" t="s">
        <v>29</v>
      </c>
      <c r="B6" t="s">
        <v>28</v>
      </c>
      <c r="C6">
        <v>2</v>
      </c>
      <c r="D6">
        <v>400</v>
      </c>
      <c r="E6">
        <v>450</v>
      </c>
      <c r="F6">
        <v>600</v>
      </c>
      <c r="G6">
        <v>700</v>
      </c>
      <c r="H6" s="6">
        <v>0.69</v>
      </c>
      <c r="I6" s="6">
        <v>0.2</v>
      </c>
      <c r="J6" s="6">
        <v>0.11</v>
      </c>
      <c r="K6" s="7">
        <f>SUM(H6:J6)</f>
        <v>0.99999999999999989</v>
      </c>
    </row>
    <row r="7" spans="1:11" x14ac:dyDescent="0.25">
      <c r="A7" t="s">
        <v>30</v>
      </c>
      <c r="B7" t="s">
        <v>28</v>
      </c>
      <c r="C7">
        <v>3</v>
      </c>
      <c r="D7">
        <v>500</v>
      </c>
      <c r="E7">
        <v>550</v>
      </c>
      <c r="F7">
        <v>800</v>
      </c>
      <c r="G7">
        <v>900</v>
      </c>
      <c r="H7" s="6">
        <v>0.66</v>
      </c>
      <c r="I7" s="6">
        <v>0.22</v>
      </c>
      <c r="J7" s="6">
        <v>0.12</v>
      </c>
      <c r="K7" s="7">
        <f t="shared" ref="K7:K13" si="0">SUM(H7:J7)</f>
        <v>1</v>
      </c>
    </row>
    <row r="8" spans="1:11" x14ac:dyDescent="0.25">
      <c r="A8" t="s">
        <v>35</v>
      </c>
      <c r="B8" t="s">
        <v>36</v>
      </c>
      <c r="C8">
        <v>1</v>
      </c>
      <c r="D8">
        <v>275</v>
      </c>
      <c r="E8">
        <v>320</v>
      </c>
      <c r="F8">
        <v>400</v>
      </c>
      <c r="G8">
        <v>500</v>
      </c>
      <c r="H8" s="6">
        <v>0.6</v>
      </c>
      <c r="I8" s="6">
        <v>0.3</v>
      </c>
      <c r="J8" s="6">
        <v>0.1</v>
      </c>
      <c r="K8" s="7">
        <f t="shared" si="0"/>
        <v>0.99999999999999989</v>
      </c>
    </row>
    <row r="9" spans="1:11" x14ac:dyDescent="0.25">
      <c r="A9" t="s">
        <v>37</v>
      </c>
      <c r="B9" t="s">
        <v>36</v>
      </c>
      <c r="C9">
        <v>2</v>
      </c>
      <c r="D9">
        <v>320</v>
      </c>
      <c r="E9">
        <v>380</v>
      </c>
      <c r="F9">
        <v>500</v>
      </c>
      <c r="G9">
        <v>600</v>
      </c>
      <c r="H9" s="6">
        <v>0.6</v>
      </c>
      <c r="I9" s="6">
        <v>0.3</v>
      </c>
      <c r="J9" s="6">
        <v>0.1</v>
      </c>
      <c r="K9" s="7">
        <f t="shared" si="0"/>
        <v>0.99999999999999989</v>
      </c>
    </row>
    <row r="10" spans="1:11" x14ac:dyDescent="0.25">
      <c r="A10" t="s">
        <v>38</v>
      </c>
      <c r="B10" t="s">
        <v>36</v>
      </c>
      <c r="C10">
        <v>3</v>
      </c>
      <c r="D10">
        <v>380</v>
      </c>
      <c r="E10">
        <v>420</v>
      </c>
      <c r="F10">
        <v>600</v>
      </c>
      <c r="G10">
        <v>700</v>
      </c>
      <c r="H10" s="6">
        <v>0.6</v>
      </c>
      <c r="I10" s="6">
        <v>0.3</v>
      </c>
      <c r="J10" s="6">
        <v>0.1</v>
      </c>
      <c r="K10" s="7">
        <f t="shared" si="0"/>
        <v>0.99999999999999989</v>
      </c>
    </row>
    <row r="11" spans="1:11" x14ac:dyDescent="0.25">
      <c r="A11" t="s">
        <v>39</v>
      </c>
      <c r="B11" t="s">
        <v>40</v>
      </c>
      <c r="C11">
        <v>1</v>
      </c>
      <c r="D11">
        <v>100</v>
      </c>
      <c r="E11">
        <v>160</v>
      </c>
      <c r="F11">
        <v>150</v>
      </c>
      <c r="G11">
        <v>250</v>
      </c>
      <c r="H11" s="6">
        <v>0.7</v>
      </c>
      <c r="I11" s="6">
        <v>0.2</v>
      </c>
      <c r="J11" s="6">
        <v>0.1</v>
      </c>
      <c r="K11" s="7">
        <f t="shared" si="0"/>
        <v>0.99999999999999989</v>
      </c>
    </row>
    <row r="12" spans="1:11" x14ac:dyDescent="0.25">
      <c r="A12" t="s">
        <v>41</v>
      </c>
      <c r="B12" t="s">
        <v>40</v>
      </c>
      <c r="C12">
        <v>2</v>
      </c>
      <c r="D12">
        <v>160</v>
      </c>
      <c r="E12">
        <v>240</v>
      </c>
      <c r="F12">
        <v>250</v>
      </c>
      <c r="G12">
        <v>330</v>
      </c>
      <c r="H12" s="6">
        <v>0.7</v>
      </c>
      <c r="I12" s="6">
        <v>0.2</v>
      </c>
      <c r="J12" s="6">
        <v>0.1</v>
      </c>
      <c r="K12" s="7">
        <f t="shared" si="0"/>
        <v>0.99999999999999989</v>
      </c>
    </row>
    <row r="13" spans="1:11" x14ac:dyDescent="0.25">
      <c r="A13" t="s">
        <v>42</v>
      </c>
      <c r="B13" t="s">
        <v>40</v>
      </c>
      <c r="C13">
        <v>3</v>
      </c>
      <c r="D13">
        <v>240</v>
      </c>
      <c r="E13">
        <v>300</v>
      </c>
      <c r="F13">
        <v>330</v>
      </c>
      <c r="G13">
        <v>400</v>
      </c>
      <c r="H13" s="6">
        <v>0.7</v>
      </c>
      <c r="I13" s="6">
        <v>0.2</v>
      </c>
      <c r="J13" s="6">
        <v>0.1</v>
      </c>
      <c r="K13" s="7">
        <f t="shared" si="0"/>
        <v>0.99999999999999989</v>
      </c>
    </row>
    <row r="19" spans="7:10" x14ac:dyDescent="0.25">
      <c r="G19" s="4"/>
      <c r="H19" s="5"/>
      <c r="I19" s="5"/>
      <c r="J19" s="5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6"/>
  <sheetViews>
    <sheetView topLeftCell="A7" workbookViewId="0">
      <selection activeCell="G2" sqref="G2"/>
    </sheetView>
  </sheetViews>
  <sheetFormatPr defaultRowHeight="15" x14ac:dyDescent="0.25"/>
  <cols>
    <col min="1" max="1" width="50" customWidth="1"/>
    <col min="2" max="2" width="38.5703125" customWidth="1"/>
    <col min="3" max="3" width="20.5703125" customWidth="1"/>
    <col min="4" max="4" width="20.7109375" customWidth="1"/>
    <col min="5" max="5" width="19.5703125" style="23" customWidth="1"/>
    <col min="6" max="6" width="16" customWidth="1"/>
    <col min="7" max="7" width="18.140625" customWidth="1"/>
    <col min="8" max="9" width="25" customWidth="1"/>
  </cols>
  <sheetData>
    <row r="1" spans="1:9" x14ac:dyDescent="0.25">
      <c r="A1" s="2" t="s">
        <v>17</v>
      </c>
      <c r="B1" s="2" t="s">
        <v>18</v>
      </c>
      <c r="C1" s="2" t="s">
        <v>43</v>
      </c>
      <c r="D1" s="2" t="s">
        <v>44</v>
      </c>
      <c r="E1" s="22" t="s">
        <v>45</v>
      </c>
      <c r="F1" s="2" t="s">
        <v>46</v>
      </c>
      <c r="G1" s="2" t="s">
        <v>47</v>
      </c>
      <c r="H1" s="2" t="s">
        <v>48</v>
      </c>
      <c r="I1" s="2" t="s">
        <v>49</v>
      </c>
    </row>
    <row r="2" spans="1:9" x14ac:dyDescent="0.25">
      <c r="A2" t="s">
        <v>50</v>
      </c>
      <c r="B2" t="s">
        <v>28</v>
      </c>
      <c r="C2">
        <v>1</v>
      </c>
      <c r="D2" t="s">
        <v>51</v>
      </c>
      <c r="E2" s="24">
        <f>AVERAGE(Table1[[#This Row],[PercentMin]:[PercentMax]])/100</f>
        <v>0.06</v>
      </c>
      <c r="F2">
        <v>5</v>
      </c>
      <c r="G2">
        <v>7</v>
      </c>
      <c r="H2">
        <v>15</v>
      </c>
      <c r="I2">
        <v>28</v>
      </c>
    </row>
    <row r="3" spans="1:9" x14ac:dyDescent="0.25">
      <c r="A3" t="s">
        <v>52</v>
      </c>
      <c r="B3" t="s">
        <v>28</v>
      </c>
      <c r="C3">
        <v>1</v>
      </c>
      <c r="D3" t="s">
        <v>53</v>
      </c>
      <c r="E3" s="24">
        <f>AVERAGE(Table1[[#This Row],[PercentMin]:[PercentMax]])/100</f>
        <v>0.31</v>
      </c>
      <c r="F3">
        <v>29</v>
      </c>
      <c r="G3">
        <v>33</v>
      </c>
      <c r="H3">
        <v>30</v>
      </c>
      <c r="I3">
        <v>48</v>
      </c>
    </row>
    <row r="4" spans="1:9" x14ac:dyDescent="0.25">
      <c r="A4" t="s">
        <v>54</v>
      </c>
      <c r="B4" t="s">
        <v>28</v>
      </c>
      <c r="C4">
        <v>1</v>
      </c>
      <c r="D4" t="s">
        <v>55</v>
      </c>
      <c r="E4" s="24">
        <f>AVERAGE(Table1[[#This Row],[PercentMin]:[PercentMax]])/100</f>
        <v>0.08</v>
      </c>
      <c r="F4">
        <v>7</v>
      </c>
      <c r="G4">
        <v>9</v>
      </c>
      <c r="H4">
        <v>24</v>
      </c>
      <c r="I4">
        <v>40</v>
      </c>
    </row>
    <row r="5" spans="1:9" x14ac:dyDescent="0.25">
      <c r="A5" t="s">
        <v>56</v>
      </c>
      <c r="B5" t="s">
        <v>28</v>
      </c>
      <c r="C5">
        <v>1</v>
      </c>
      <c r="D5" t="s">
        <v>57</v>
      </c>
      <c r="E5" s="24">
        <f>AVERAGE(Table1[[#This Row],[PercentMin]:[PercentMax]])/100</f>
        <v>0.05</v>
      </c>
      <c r="F5">
        <v>4</v>
      </c>
      <c r="G5">
        <v>6</v>
      </c>
      <c r="H5">
        <v>12</v>
      </c>
      <c r="I5">
        <v>24</v>
      </c>
    </row>
    <row r="6" spans="1:9" x14ac:dyDescent="0.25">
      <c r="A6" t="s">
        <v>58</v>
      </c>
      <c r="B6" t="s">
        <v>28</v>
      </c>
      <c r="C6">
        <v>1</v>
      </c>
      <c r="D6" t="s">
        <v>59</v>
      </c>
      <c r="E6" s="24">
        <f>AVERAGE(Table1[[#This Row],[PercentMin]:[PercentMax]])/100</f>
        <v>0.04</v>
      </c>
      <c r="F6">
        <v>3</v>
      </c>
      <c r="G6">
        <v>5</v>
      </c>
      <c r="H6">
        <v>9</v>
      </c>
      <c r="I6">
        <v>20</v>
      </c>
    </row>
    <row r="7" spans="1:9" x14ac:dyDescent="0.25">
      <c r="A7" t="s">
        <v>60</v>
      </c>
      <c r="B7" t="s">
        <v>28</v>
      </c>
      <c r="C7">
        <v>1</v>
      </c>
      <c r="D7" t="s">
        <v>61</v>
      </c>
      <c r="E7" s="24">
        <f>AVERAGE(Table1[[#This Row],[PercentMin]:[PercentMax]])/100</f>
        <v>2.5000000000000001E-2</v>
      </c>
      <c r="F7">
        <v>2</v>
      </c>
      <c r="G7">
        <v>3</v>
      </c>
      <c r="H7">
        <v>6</v>
      </c>
      <c r="I7">
        <v>12</v>
      </c>
    </row>
    <row r="8" spans="1:9" x14ac:dyDescent="0.25">
      <c r="A8" t="s">
        <v>62</v>
      </c>
      <c r="B8" t="s">
        <v>28</v>
      </c>
      <c r="C8">
        <v>2</v>
      </c>
      <c r="D8" t="s">
        <v>51</v>
      </c>
      <c r="E8" s="24">
        <f>AVERAGE(Table1[[#This Row],[PercentMin]:[PercentMax]])/100</f>
        <v>7.0000000000000007E-2</v>
      </c>
      <c r="F8">
        <v>6</v>
      </c>
      <c r="G8">
        <v>8</v>
      </c>
      <c r="H8">
        <v>24</v>
      </c>
      <c r="I8">
        <v>40</v>
      </c>
    </row>
    <row r="9" spans="1:9" x14ac:dyDescent="0.25">
      <c r="A9" t="s">
        <v>63</v>
      </c>
      <c r="B9" t="s">
        <v>28</v>
      </c>
      <c r="C9">
        <v>2</v>
      </c>
      <c r="D9" t="s">
        <v>53</v>
      </c>
      <c r="E9" s="24">
        <f>AVERAGE(Table1[[#This Row],[PercentMin]:[PercentMax]])/100</f>
        <v>0.3</v>
      </c>
      <c r="F9">
        <v>28</v>
      </c>
      <c r="G9" s="23">
        <v>32</v>
      </c>
      <c r="H9">
        <v>44</v>
      </c>
      <c r="I9">
        <v>65</v>
      </c>
    </row>
    <row r="10" spans="1:9" x14ac:dyDescent="0.25">
      <c r="A10" t="s">
        <v>64</v>
      </c>
      <c r="B10" t="s">
        <v>28</v>
      </c>
      <c r="C10">
        <v>2</v>
      </c>
      <c r="D10" t="s">
        <v>55</v>
      </c>
      <c r="E10" s="24">
        <f>AVERAGE(Table1[[#This Row],[PercentMin]:[PercentMax]])/100</f>
        <v>0.09</v>
      </c>
      <c r="F10">
        <v>8</v>
      </c>
      <c r="G10">
        <v>10</v>
      </c>
      <c r="H10">
        <v>36</v>
      </c>
      <c r="I10">
        <v>55</v>
      </c>
    </row>
    <row r="11" spans="1:9" x14ac:dyDescent="0.25">
      <c r="A11" t="s">
        <v>65</v>
      </c>
      <c r="B11" t="s">
        <v>28</v>
      </c>
      <c r="C11">
        <v>2</v>
      </c>
      <c r="D11" t="s">
        <v>57</v>
      </c>
      <c r="E11" s="24">
        <f>AVERAGE(Table1[[#This Row],[PercentMin]:[PercentMax]])/100</f>
        <v>0.06</v>
      </c>
      <c r="F11">
        <v>5</v>
      </c>
      <c r="G11">
        <v>7</v>
      </c>
      <c r="H11">
        <v>20</v>
      </c>
      <c r="I11">
        <v>35</v>
      </c>
    </row>
    <row r="12" spans="1:9" x14ac:dyDescent="0.25">
      <c r="A12" t="s">
        <v>66</v>
      </c>
      <c r="B12" t="s">
        <v>28</v>
      </c>
      <c r="C12">
        <v>2</v>
      </c>
      <c r="D12" t="s">
        <v>59</v>
      </c>
      <c r="E12" s="24">
        <f>AVERAGE(Table1[[#This Row],[PercentMin]:[PercentMax]])/100</f>
        <v>0.05</v>
      </c>
      <c r="F12">
        <v>4</v>
      </c>
      <c r="G12">
        <v>6</v>
      </c>
      <c r="H12">
        <v>16</v>
      </c>
      <c r="I12">
        <v>30</v>
      </c>
    </row>
    <row r="13" spans="1:9" x14ac:dyDescent="0.25">
      <c r="A13" t="s">
        <v>67</v>
      </c>
      <c r="B13" t="s">
        <v>28</v>
      </c>
      <c r="C13">
        <v>2</v>
      </c>
      <c r="D13" t="s">
        <v>61</v>
      </c>
      <c r="E13" s="24">
        <f>AVERAGE(Table1[[#This Row],[PercentMin]:[PercentMax]])/100</f>
        <v>3.5000000000000003E-2</v>
      </c>
      <c r="F13">
        <v>3</v>
      </c>
      <c r="G13">
        <v>4</v>
      </c>
      <c r="H13">
        <v>12</v>
      </c>
      <c r="I13">
        <v>20</v>
      </c>
    </row>
    <row r="14" spans="1:9" x14ac:dyDescent="0.25">
      <c r="A14" t="s">
        <v>68</v>
      </c>
      <c r="B14" t="s">
        <v>28</v>
      </c>
      <c r="C14">
        <v>3</v>
      </c>
      <c r="D14" t="s">
        <v>51</v>
      </c>
      <c r="E14" s="24">
        <f>AVERAGE(Table1[[#This Row],[PercentMin]:[PercentMax]])/100</f>
        <v>7.4999999999999997E-2</v>
      </c>
      <c r="F14">
        <v>6</v>
      </c>
      <c r="G14">
        <v>9</v>
      </c>
      <c r="H14">
        <v>30</v>
      </c>
      <c r="I14">
        <v>54</v>
      </c>
    </row>
    <row r="15" spans="1:9" x14ac:dyDescent="0.25">
      <c r="A15" t="s">
        <v>69</v>
      </c>
      <c r="B15" t="s">
        <v>28</v>
      </c>
      <c r="C15">
        <v>3</v>
      </c>
      <c r="D15" t="s">
        <v>53</v>
      </c>
      <c r="E15" s="24">
        <f>AVERAGE(Table1[[#This Row],[PercentMin]:[PercentMax]])/100</f>
        <v>0.28999999999999998</v>
      </c>
      <c r="F15">
        <v>27</v>
      </c>
      <c r="G15" s="23">
        <v>31</v>
      </c>
      <c r="H15">
        <v>60</v>
      </c>
      <c r="I15">
        <v>90</v>
      </c>
    </row>
    <row r="16" spans="1:9" x14ac:dyDescent="0.25">
      <c r="A16" t="s">
        <v>70</v>
      </c>
      <c r="B16" t="s">
        <v>28</v>
      </c>
      <c r="C16">
        <v>3</v>
      </c>
      <c r="D16" t="s">
        <v>55</v>
      </c>
      <c r="E16" s="24">
        <f>AVERAGE(Table1[[#This Row],[PercentMin]:[PercentMax]])/100</f>
        <v>0.1</v>
      </c>
      <c r="F16">
        <v>9</v>
      </c>
      <c r="G16">
        <v>11</v>
      </c>
      <c r="H16">
        <v>50</v>
      </c>
      <c r="I16">
        <v>72</v>
      </c>
    </row>
    <row r="17" spans="1:9" x14ac:dyDescent="0.25">
      <c r="A17" t="s">
        <v>71</v>
      </c>
      <c r="B17" t="s">
        <v>28</v>
      </c>
      <c r="C17">
        <v>3</v>
      </c>
      <c r="D17" t="s">
        <v>57</v>
      </c>
      <c r="E17" s="24">
        <f>AVERAGE(Table1[[#This Row],[PercentMin]:[PercentMax]])/100</f>
        <v>7.0000000000000007E-2</v>
      </c>
      <c r="F17">
        <v>6</v>
      </c>
      <c r="G17">
        <v>8</v>
      </c>
      <c r="H17">
        <v>30</v>
      </c>
      <c r="I17">
        <v>48</v>
      </c>
    </row>
    <row r="18" spans="1:9" x14ac:dyDescent="0.25">
      <c r="A18" t="s">
        <v>72</v>
      </c>
      <c r="B18" t="s">
        <v>28</v>
      </c>
      <c r="C18">
        <v>3</v>
      </c>
      <c r="D18" t="s">
        <v>59</v>
      </c>
      <c r="E18" s="24">
        <f>AVERAGE(Table1[[#This Row],[PercentMin]:[PercentMax]])/100</f>
        <v>0.05</v>
      </c>
      <c r="F18">
        <v>4</v>
      </c>
      <c r="G18">
        <v>6</v>
      </c>
      <c r="H18">
        <v>20</v>
      </c>
      <c r="I18">
        <v>36</v>
      </c>
    </row>
    <row r="19" spans="1:9" x14ac:dyDescent="0.25">
      <c r="A19" t="s">
        <v>73</v>
      </c>
      <c r="B19" t="s">
        <v>28</v>
      </c>
      <c r="C19">
        <v>3</v>
      </c>
      <c r="D19" t="s">
        <v>61</v>
      </c>
      <c r="E19" s="24">
        <f>AVERAGE(Table1[[#This Row],[PercentMin]:[PercentMax]])/100</f>
        <v>0.04</v>
      </c>
      <c r="F19">
        <v>3</v>
      </c>
      <c r="G19">
        <v>5</v>
      </c>
      <c r="H19">
        <v>15</v>
      </c>
      <c r="I19">
        <v>30</v>
      </c>
    </row>
    <row r="20" spans="1:9" x14ac:dyDescent="0.25">
      <c r="A20" t="s">
        <v>119</v>
      </c>
      <c r="B20" t="s">
        <v>32</v>
      </c>
      <c r="C20">
        <v>1</v>
      </c>
      <c r="D20" t="s">
        <v>51</v>
      </c>
      <c r="E20" s="24">
        <f>AVERAGE(Table1[[#This Row],[PercentMin]:[PercentMax]])/100</f>
        <v>0.05</v>
      </c>
      <c r="F20">
        <v>4</v>
      </c>
      <c r="G20">
        <v>6</v>
      </c>
      <c r="H20">
        <f>H2*(1-20%)</f>
        <v>12</v>
      </c>
      <c r="I20">
        <f>I2*(1-20%)</f>
        <v>22.400000000000002</v>
      </c>
    </row>
    <row r="21" spans="1:9" x14ac:dyDescent="0.25">
      <c r="A21" t="s">
        <v>120</v>
      </c>
      <c r="B21" t="s">
        <v>32</v>
      </c>
      <c r="C21">
        <v>1</v>
      </c>
      <c r="D21" t="s">
        <v>53</v>
      </c>
      <c r="E21" s="24">
        <f>AVERAGE(Table1[[#This Row],[PercentMin]:[PercentMax]])/100</f>
        <v>0.28000000000000003</v>
      </c>
      <c r="F21">
        <v>26</v>
      </c>
      <c r="G21">
        <v>30</v>
      </c>
      <c r="H21">
        <f t="shared" ref="H21:I21" si="0">H3*(1-20%)</f>
        <v>24</v>
      </c>
      <c r="I21">
        <f t="shared" si="0"/>
        <v>38.400000000000006</v>
      </c>
    </row>
    <row r="22" spans="1:9" x14ac:dyDescent="0.25">
      <c r="A22" t="s">
        <v>121</v>
      </c>
      <c r="B22" t="s">
        <v>32</v>
      </c>
      <c r="C22">
        <v>1</v>
      </c>
      <c r="D22" t="s">
        <v>55</v>
      </c>
      <c r="E22" s="24">
        <f>AVERAGE(Table1[[#This Row],[PercentMin]:[PercentMax]])/100</f>
        <v>0.06</v>
      </c>
      <c r="F22">
        <v>5</v>
      </c>
      <c r="G22">
        <v>7</v>
      </c>
      <c r="H22">
        <f t="shared" ref="H22:I22" si="1">H4*(1-20%)</f>
        <v>19.200000000000003</v>
      </c>
      <c r="I22">
        <f t="shared" si="1"/>
        <v>32</v>
      </c>
    </row>
    <row r="23" spans="1:9" x14ac:dyDescent="0.25">
      <c r="A23" t="s">
        <v>122</v>
      </c>
      <c r="B23" t="s">
        <v>32</v>
      </c>
      <c r="C23">
        <v>1</v>
      </c>
      <c r="D23" t="s">
        <v>57</v>
      </c>
      <c r="E23" s="24">
        <f>AVERAGE(Table1[[#This Row],[PercentMin]:[PercentMax]])/100</f>
        <v>4.4999999999999998E-2</v>
      </c>
      <c r="F23">
        <v>4</v>
      </c>
      <c r="G23">
        <v>5</v>
      </c>
      <c r="H23">
        <f t="shared" ref="H23:I23" si="2">H5*(1-20%)</f>
        <v>9.6000000000000014</v>
      </c>
      <c r="I23">
        <f t="shared" si="2"/>
        <v>19.200000000000003</v>
      </c>
    </row>
    <row r="24" spans="1:9" x14ac:dyDescent="0.25">
      <c r="A24" t="s">
        <v>123</v>
      </c>
      <c r="B24" t="s">
        <v>74</v>
      </c>
      <c r="C24">
        <v>1</v>
      </c>
      <c r="D24" t="s">
        <v>59</v>
      </c>
      <c r="E24" s="24">
        <f>AVERAGE(Table1[[#This Row],[PercentMin]:[PercentMax]])/100</f>
        <v>3.5000000000000003E-2</v>
      </c>
      <c r="F24">
        <v>3</v>
      </c>
      <c r="G24">
        <v>4</v>
      </c>
      <c r="H24">
        <f t="shared" ref="H24:I24" si="3">H6*(1-20%)</f>
        <v>7.2</v>
      </c>
      <c r="I24">
        <f t="shared" si="3"/>
        <v>16</v>
      </c>
    </row>
    <row r="25" spans="1:9" x14ac:dyDescent="0.25">
      <c r="A25" t="s">
        <v>124</v>
      </c>
      <c r="B25" t="s">
        <v>74</v>
      </c>
      <c r="C25">
        <v>1</v>
      </c>
      <c r="D25" t="s">
        <v>61</v>
      </c>
      <c r="E25" s="24">
        <f>AVERAGE(Table1[[#This Row],[PercentMin]:[PercentMax]])/100</f>
        <v>1.4999999999999999E-2</v>
      </c>
      <c r="F25">
        <v>1</v>
      </c>
      <c r="G25">
        <v>2</v>
      </c>
      <c r="H25">
        <f t="shared" ref="H25:I25" si="4">H7*(1-20%)</f>
        <v>4.8000000000000007</v>
      </c>
      <c r="I25">
        <f t="shared" si="4"/>
        <v>9.6000000000000014</v>
      </c>
    </row>
    <row r="26" spans="1:9" x14ac:dyDescent="0.25">
      <c r="A26" t="s">
        <v>125</v>
      </c>
      <c r="B26" t="s">
        <v>32</v>
      </c>
      <c r="C26">
        <v>2</v>
      </c>
      <c r="D26" t="s">
        <v>51</v>
      </c>
      <c r="E26" s="24">
        <f>AVERAGE(Table1[[#This Row],[PercentMin]:[PercentMax]])/100</f>
        <v>0.05</v>
      </c>
      <c r="F26">
        <v>4</v>
      </c>
      <c r="G26">
        <v>6</v>
      </c>
      <c r="H26">
        <f t="shared" ref="H26:I26" si="5">H8*(1-20%)</f>
        <v>19.200000000000003</v>
      </c>
      <c r="I26">
        <f t="shared" si="5"/>
        <v>32</v>
      </c>
    </row>
    <row r="27" spans="1:9" x14ac:dyDescent="0.25">
      <c r="A27" t="s">
        <v>126</v>
      </c>
      <c r="B27" t="s">
        <v>32</v>
      </c>
      <c r="C27">
        <v>2</v>
      </c>
      <c r="D27" t="s">
        <v>53</v>
      </c>
      <c r="E27" s="24">
        <f>AVERAGE(Table1[[#This Row],[PercentMin]:[PercentMax]])/100</f>
        <v>0.27</v>
      </c>
      <c r="F27">
        <v>25</v>
      </c>
      <c r="G27">
        <v>29</v>
      </c>
      <c r="H27">
        <f t="shared" ref="H27:I27" si="6">H9*(1-20%)</f>
        <v>35.200000000000003</v>
      </c>
      <c r="I27">
        <f t="shared" si="6"/>
        <v>52</v>
      </c>
    </row>
    <row r="28" spans="1:9" x14ac:dyDescent="0.25">
      <c r="A28" t="s">
        <v>127</v>
      </c>
      <c r="B28" t="s">
        <v>32</v>
      </c>
      <c r="C28">
        <v>2</v>
      </c>
      <c r="D28" t="s">
        <v>55</v>
      </c>
      <c r="E28" s="24">
        <f>AVERAGE(Table1[[#This Row],[PercentMin]:[PercentMax]])/100</f>
        <v>0.06</v>
      </c>
      <c r="F28">
        <v>5</v>
      </c>
      <c r="G28">
        <v>7</v>
      </c>
      <c r="H28">
        <f t="shared" ref="H28:I28" si="7">H10*(1-20%)</f>
        <v>28.8</v>
      </c>
      <c r="I28">
        <f t="shared" si="7"/>
        <v>44</v>
      </c>
    </row>
    <row r="29" spans="1:9" x14ac:dyDescent="0.25">
      <c r="A29" t="s">
        <v>128</v>
      </c>
      <c r="B29" t="s">
        <v>32</v>
      </c>
      <c r="C29">
        <v>2</v>
      </c>
      <c r="D29" t="s">
        <v>57</v>
      </c>
      <c r="E29" s="24">
        <f>AVERAGE(Table1[[#This Row],[PercentMin]:[PercentMax]])/100</f>
        <v>4.4999999999999998E-2</v>
      </c>
      <c r="F29">
        <v>4</v>
      </c>
      <c r="G29">
        <v>5</v>
      </c>
      <c r="H29">
        <f t="shared" ref="H29:I29" si="8">H11*(1-20%)</f>
        <v>16</v>
      </c>
      <c r="I29">
        <f t="shared" si="8"/>
        <v>28</v>
      </c>
    </row>
    <row r="30" spans="1:9" x14ac:dyDescent="0.25">
      <c r="A30" t="s">
        <v>129</v>
      </c>
      <c r="B30" t="s">
        <v>74</v>
      </c>
      <c r="C30">
        <v>2</v>
      </c>
      <c r="D30" t="s">
        <v>59</v>
      </c>
      <c r="E30" s="24">
        <f>AVERAGE(Table1[[#This Row],[PercentMin]:[PercentMax]])/100</f>
        <v>3.5000000000000003E-2</v>
      </c>
      <c r="F30">
        <v>3</v>
      </c>
      <c r="G30">
        <v>4</v>
      </c>
      <c r="H30">
        <f t="shared" ref="H30:I30" si="9">H12*(1-20%)</f>
        <v>12.8</v>
      </c>
      <c r="I30">
        <f t="shared" si="9"/>
        <v>24</v>
      </c>
    </row>
    <row r="31" spans="1:9" x14ac:dyDescent="0.25">
      <c r="A31" t="s">
        <v>130</v>
      </c>
      <c r="B31" t="s">
        <v>74</v>
      </c>
      <c r="C31">
        <v>2</v>
      </c>
      <c r="D31" t="s">
        <v>61</v>
      </c>
      <c r="E31" s="24">
        <f>AVERAGE(Table1[[#This Row],[PercentMin]:[PercentMax]])/100</f>
        <v>1.4999999999999999E-2</v>
      </c>
      <c r="F31">
        <v>1</v>
      </c>
      <c r="G31">
        <v>2</v>
      </c>
      <c r="H31">
        <f t="shared" ref="H31:I31" si="10">H13*(1-20%)</f>
        <v>9.6000000000000014</v>
      </c>
      <c r="I31">
        <f t="shared" si="10"/>
        <v>16</v>
      </c>
    </row>
    <row r="32" spans="1:9" x14ac:dyDescent="0.25">
      <c r="A32" t="s">
        <v>131</v>
      </c>
      <c r="B32" t="s">
        <v>32</v>
      </c>
      <c r="C32">
        <v>3</v>
      </c>
      <c r="D32" t="s">
        <v>51</v>
      </c>
      <c r="E32" s="24">
        <f>AVERAGE(Table1[[#This Row],[PercentMin]:[PercentMax]])/100</f>
        <v>0.05</v>
      </c>
      <c r="F32">
        <v>4</v>
      </c>
      <c r="G32">
        <v>6</v>
      </c>
      <c r="H32">
        <f t="shared" ref="H32:I32" si="11">H14*(1-20%)</f>
        <v>24</v>
      </c>
      <c r="I32">
        <f t="shared" si="11"/>
        <v>43.2</v>
      </c>
    </row>
    <row r="33" spans="1:9" x14ac:dyDescent="0.25">
      <c r="A33" t="s">
        <v>132</v>
      </c>
      <c r="B33" t="s">
        <v>32</v>
      </c>
      <c r="C33">
        <v>3</v>
      </c>
      <c r="D33" t="s">
        <v>53</v>
      </c>
      <c r="E33" s="24">
        <f>AVERAGE(Table1[[#This Row],[PercentMin]:[PercentMax]])/100</f>
        <v>0.26</v>
      </c>
      <c r="F33">
        <v>24</v>
      </c>
      <c r="G33">
        <v>28</v>
      </c>
      <c r="H33">
        <f t="shared" ref="H33:I33" si="12">H15*(1-20%)</f>
        <v>48</v>
      </c>
      <c r="I33">
        <f t="shared" si="12"/>
        <v>72</v>
      </c>
    </row>
    <row r="34" spans="1:9" x14ac:dyDescent="0.25">
      <c r="A34" t="s">
        <v>133</v>
      </c>
      <c r="B34" t="s">
        <v>32</v>
      </c>
      <c r="C34">
        <v>3</v>
      </c>
      <c r="D34" t="s">
        <v>55</v>
      </c>
      <c r="E34" s="24">
        <f>AVERAGE(Table1[[#This Row],[PercentMin]:[PercentMax]])/100</f>
        <v>0.06</v>
      </c>
      <c r="F34">
        <v>5</v>
      </c>
      <c r="G34">
        <v>7</v>
      </c>
      <c r="H34">
        <f t="shared" ref="H34:I34" si="13">H16*(1-20%)</f>
        <v>40</v>
      </c>
      <c r="I34">
        <f t="shared" si="13"/>
        <v>57.6</v>
      </c>
    </row>
    <row r="35" spans="1:9" x14ac:dyDescent="0.25">
      <c r="A35" t="s">
        <v>134</v>
      </c>
      <c r="B35" t="s">
        <v>32</v>
      </c>
      <c r="C35">
        <v>3</v>
      </c>
      <c r="D35" t="s">
        <v>57</v>
      </c>
      <c r="E35" s="24">
        <f>AVERAGE(Table1[[#This Row],[PercentMin]:[PercentMax]])/100</f>
        <v>4.4999999999999998E-2</v>
      </c>
      <c r="F35">
        <v>4</v>
      </c>
      <c r="G35">
        <v>5</v>
      </c>
      <c r="H35">
        <f t="shared" ref="H35:I35" si="14">H17*(1-20%)</f>
        <v>24</v>
      </c>
      <c r="I35">
        <f t="shared" si="14"/>
        <v>38.400000000000006</v>
      </c>
    </row>
    <row r="36" spans="1:9" x14ac:dyDescent="0.25">
      <c r="A36" t="s">
        <v>135</v>
      </c>
      <c r="B36" t="s">
        <v>74</v>
      </c>
      <c r="C36">
        <v>3</v>
      </c>
      <c r="D36" t="s">
        <v>59</v>
      </c>
      <c r="E36" s="24">
        <f>AVERAGE(Table1[[#This Row],[PercentMin]:[PercentMax]])/100</f>
        <v>3.5000000000000003E-2</v>
      </c>
      <c r="F36">
        <v>3</v>
      </c>
      <c r="G36">
        <v>4</v>
      </c>
      <c r="H36">
        <f t="shared" ref="H36:I36" si="15">H18*(1-20%)</f>
        <v>16</v>
      </c>
      <c r="I36">
        <f t="shared" si="15"/>
        <v>28.8</v>
      </c>
    </row>
    <row r="37" spans="1:9" x14ac:dyDescent="0.25">
      <c r="A37" t="s">
        <v>136</v>
      </c>
      <c r="B37" t="s">
        <v>74</v>
      </c>
      <c r="C37">
        <v>3</v>
      </c>
      <c r="D37" t="s">
        <v>61</v>
      </c>
      <c r="E37" s="24">
        <f>AVERAGE(Table1[[#This Row],[PercentMin]:[PercentMax]])/100</f>
        <v>1.4999999999999999E-2</v>
      </c>
      <c r="F37">
        <v>1</v>
      </c>
      <c r="G37">
        <v>2</v>
      </c>
      <c r="H37">
        <f t="shared" ref="H37:I37" si="16">H19*(1-20%)</f>
        <v>12</v>
      </c>
      <c r="I37">
        <f t="shared" si="16"/>
        <v>24</v>
      </c>
    </row>
    <row r="38" spans="1:9" x14ac:dyDescent="0.25">
      <c r="A38" t="s">
        <v>75</v>
      </c>
      <c r="B38" t="s">
        <v>76</v>
      </c>
      <c r="C38">
        <v>1</v>
      </c>
      <c r="D38" t="s">
        <v>51</v>
      </c>
      <c r="E38" s="24">
        <f>AVERAGE(Table1[[#This Row],[PercentMin]:[PercentMax]])/100</f>
        <v>6.5000000000000002E-2</v>
      </c>
      <c r="F38">
        <v>5</v>
      </c>
      <c r="G38">
        <v>8</v>
      </c>
      <c r="H38">
        <v>18</v>
      </c>
      <c r="I38">
        <v>40</v>
      </c>
    </row>
    <row r="39" spans="1:9" x14ac:dyDescent="0.25">
      <c r="A39" t="s">
        <v>77</v>
      </c>
      <c r="B39" t="s">
        <v>76</v>
      </c>
      <c r="C39">
        <v>1</v>
      </c>
      <c r="D39" t="s">
        <v>53</v>
      </c>
      <c r="E39" s="24">
        <f>AVERAGE(Table1[[#This Row],[PercentMin]:[PercentMax]])/100</f>
        <v>0.23</v>
      </c>
      <c r="F39">
        <v>20</v>
      </c>
      <c r="G39">
        <v>26</v>
      </c>
      <c r="H39">
        <v>53</v>
      </c>
      <c r="I39">
        <v>90</v>
      </c>
    </row>
    <row r="40" spans="1:9" x14ac:dyDescent="0.25">
      <c r="A40" t="s">
        <v>78</v>
      </c>
      <c r="B40" t="s">
        <v>76</v>
      </c>
      <c r="C40">
        <v>1</v>
      </c>
      <c r="D40" t="s">
        <v>55</v>
      </c>
      <c r="E40" s="24">
        <f>AVERAGE(Table1[[#This Row],[PercentMin]:[PercentMax]])/100</f>
        <v>0.125</v>
      </c>
      <c r="F40">
        <v>11</v>
      </c>
      <c r="G40">
        <v>14</v>
      </c>
      <c r="H40">
        <v>42</v>
      </c>
      <c r="I40">
        <v>75</v>
      </c>
    </row>
    <row r="41" spans="1:9" x14ac:dyDescent="0.25">
      <c r="A41" t="s">
        <v>79</v>
      </c>
      <c r="B41" t="s">
        <v>76</v>
      </c>
      <c r="C41">
        <v>1</v>
      </c>
      <c r="D41" t="s">
        <v>57</v>
      </c>
      <c r="E41" s="24">
        <f>AVERAGE(Table1[[#This Row],[PercentMin]:[PercentMax]])/100</f>
        <v>7.4999999999999997E-2</v>
      </c>
      <c r="F41">
        <v>6</v>
      </c>
      <c r="G41">
        <v>9</v>
      </c>
      <c r="H41">
        <v>21</v>
      </c>
      <c r="I41">
        <v>45</v>
      </c>
    </row>
    <row r="42" spans="1:9" x14ac:dyDescent="0.25">
      <c r="A42" t="s">
        <v>80</v>
      </c>
      <c r="B42" t="s">
        <v>76</v>
      </c>
      <c r="C42">
        <v>1</v>
      </c>
      <c r="D42" t="s">
        <v>59</v>
      </c>
      <c r="E42" s="24">
        <f>AVERAGE(Table1[[#This Row],[PercentMin]:[PercentMax]])/100</f>
        <v>0.04</v>
      </c>
      <c r="F42">
        <v>3</v>
      </c>
      <c r="G42">
        <v>5</v>
      </c>
      <c r="H42">
        <v>10</v>
      </c>
      <c r="I42">
        <v>25</v>
      </c>
    </row>
    <row r="43" spans="1:9" x14ac:dyDescent="0.25">
      <c r="A43" t="s">
        <v>81</v>
      </c>
      <c r="B43" t="s">
        <v>76</v>
      </c>
      <c r="C43">
        <v>1</v>
      </c>
      <c r="D43" t="s">
        <v>61</v>
      </c>
      <c r="E43" s="24">
        <f>AVERAGE(Table1[[#This Row],[PercentMin]:[PercentMax]])/100</f>
        <v>3.5000000000000003E-2</v>
      </c>
      <c r="F43">
        <v>3</v>
      </c>
      <c r="G43">
        <v>4</v>
      </c>
      <c r="H43">
        <v>10</v>
      </c>
      <c r="I43">
        <v>20</v>
      </c>
    </row>
    <row r="44" spans="1:9" x14ac:dyDescent="0.25">
      <c r="A44" t="s">
        <v>82</v>
      </c>
      <c r="B44" t="s">
        <v>83</v>
      </c>
      <c r="C44">
        <v>2</v>
      </c>
      <c r="D44" t="s">
        <v>51</v>
      </c>
      <c r="E44" s="24">
        <f>AVERAGE(Table1[[#This Row],[PercentMin]:[PercentMax]])/100</f>
        <v>0.05</v>
      </c>
      <c r="F44">
        <v>4</v>
      </c>
      <c r="G44">
        <v>6</v>
      </c>
      <c r="H44">
        <v>10</v>
      </c>
      <c r="I44">
        <v>20</v>
      </c>
    </row>
    <row r="45" spans="1:9" x14ac:dyDescent="0.25">
      <c r="A45" t="s">
        <v>84</v>
      </c>
      <c r="B45" t="s">
        <v>83</v>
      </c>
      <c r="C45">
        <v>2</v>
      </c>
      <c r="D45" t="s">
        <v>53</v>
      </c>
      <c r="E45" s="24">
        <f>AVERAGE(Table1[[#This Row],[PercentMin]:[PercentMax]])/100</f>
        <v>0.24</v>
      </c>
      <c r="F45">
        <v>20</v>
      </c>
      <c r="G45">
        <v>28</v>
      </c>
      <c r="H45">
        <v>38</v>
      </c>
      <c r="I45">
        <v>66</v>
      </c>
    </row>
    <row r="46" spans="1:9" x14ac:dyDescent="0.25">
      <c r="A46" t="s">
        <v>85</v>
      </c>
      <c r="B46" t="s">
        <v>83</v>
      </c>
      <c r="C46">
        <v>2</v>
      </c>
      <c r="D46" t="s">
        <v>55</v>
      </c>
      <c r="E46" s="24">
        <f>AVERAGE(Table1[[#This Row],[PercentMin]:[PercentMax]])/100</f>
        <v>0.115</v>
      </c>
      <c r="F46">
        <v>9</v>
      </c>
      <c r="G46">
        <v>14</v>
      </c>
      <c r="H46">
        <v>25</v>
      </c>
      <c r="I46">
        <v>50</v>
      </c>
    </row>
    <row r="47" spans="1:9" x14ac:dyDescent="0.25">
      <c r="A47" t="s">
        <v>86</v>
      </c>
      <c r="B47" t="s">
        <v>83</v>
      </c>
      <c r="C47">
        <v>2</v>
      </c>
      <c r="D47" t="s">
        <v>57</v>
      </c>
      <c r="E47" s="24">
        <f>AVERAGE(Table1[[#This Row],[PercentMin]:[PercentMax]])/100</f>
        <v>0.1</v>
      </c>
      <c r="F47">
        <v>8</v>
      </c>
      <c r="G47">
        <v>12</v>
      </c>
      <c r="H47">
        <v>20</v>
      </c>
      <c r="I47">
        <v>40</v>
      </c>
    </row>
    <row r="48" spans="1:9" x14ac:dyDescent="0.25">
      <c r="A48" t="s">
        <v>87</v>
      </c>
      <c r="B48" t="s">
        <v>83</v>
      </c>
      <c r="C48">
        <v>2</v>
      </c>
      <c r="D48" t="s">
        <v>59</v>
      </c>
      <c r="E48" s="24">
        <f>AVERAGE(Table1[[#This Row],[PercentMin]:[PercentMax]])/100</f>
        <v>0.03</v>
      </c>
      <c r="F48">
        <v>2</v>
      </c>
      <c r="G48">
        <v>4</v>
      </c>
      <c r="H48">
        <v>5</v>
      </c>
      <c r="I48">
        <v>13</v>
      </c>
    </row>
    <row r="49" spans="1:9" x14ac:dyDescent="0.25">
      <c r="A49" t="s">
        <v>88</v>
      </c>
      <c r="B49" t="s">
        <v>83</v>
      </c>
      <c r="C49">
        <v>2</v>
      </c>
      <c r="D49" t="s">
        <v>61</v>
      </c>
      <c r="E49" s="24">
        <f>AVERAGE(Table1[[#This Row],[PercentMin]:[PercentMax]])/100</f>
        <v>3.5000000000000003E-2</v>
      </c>
      <c r="F49">
        <v>3</v>
      </c>
      <c r="G49">
        <v>4</v>
      </c>
      <c r="H49">
        <v>8</v>
      </c>
      <c r="I49">
        <v>13</v>
      </c>
    </row>
    <row r="56" spans="1:9" x14ac:dyDescent="0.25">
      <c r="H56" t="s">
        <v>118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7F58-9D70-404F-8930-AFD1027A6509}">
  <dimension ref="A1:I228"/>
  <sheetViews>
    <sheetView workbookViewId="0">
      <selection activeCell="O42" sqref="O42"/>
    </sheetView>
  </sheetViews>
  <sheetFormatPr defaultRowHeight="15" x14ac:dyDescent="0.25"/>
  <sheetData>
    <row r="1" spans="1:4" x14ac:dyDescent="0.25">
      <c r="A1" t="s">
        <v>166</v>
      </c>
      <c r="B1" t="s">
        <v>172</v>
      </c>
      <c r="C1" t="s">
        <v>179</v>
      </c>
    </row>
    <row r="2" spans="1:4" x14ac:dyDescent="0.25">
      <c r="A2" t="s">
        <v>167</v>
      </c>
      <c r="B2" t="s">
        <v>168</v>
      </c>
      <c r="C2" t="s">
        <v>178</v>
      </c>
    </row>
    <row r="3" spans="1:4" x14ac:dyDescent="0.25">
      <c r="A3" t="s">
        <v>18</v>
      </c>
      <c r="B3" t="s">
        <v>169</v>
      </c>
      <c r="C3" t="s">
        <v>177</v>
      </c>
    </row>
    <row r="4" spans="1:4" x14ac:dyDescent="0.25">
      <c r="A4" t="s">
        <v>170</v>
      </c>
      <c r="B4" t="s">
        <v>32</v>
      </c>
      <c r="C4" t="s">
        <v>176</v>
      </c>
    </row>
    <row r="5" spans="1:4" x14ac:dyDescent="0.25">
      <c r="A5" t="s">
        <v>174</v>
      </c>
      <c r="B5" t="s">
        <v>175</v>
      </c>
      <c r="C5" t="s">
        <v>258</v>
      </c>
    </row>
    <row r="6" spans="1:4" x14ac:dyDescent="0.25">
      <c r="A6" t="s">
        <v>171</v>
      </c>
      <c r="B6">
        <v>3</v>
      </c>
      <c r="C6" t="s">
        <v>275</v>
      </c>
    </row>
    <row r="7" spans="1:4" x14ac:dyDescent="0.25">
      <c r="A7" t="s">
        <v>96</v>
      </c>
      <c r="B7" s="19">
        <v>0</v>
      </c>
      <c r="C7" t="s">
        <v>259</v>
      </c>
    </row>
    <row r="8" spans="1:4" x14ac:dyDescent="0.25">
      <c r="A8" t="s">
        <v>97</v>
      </c>
      <c r="B8" s="19">
        <v>4407</v>
      </c>
      <c r="C8" t="s">
        <v>173</v>
      </c>
    </row>
    <row r="9" spans="1:4" x14ac:dyDescent="0.25">
      <c r="A9" t="s">
        <v>276</v>
      </c>
      <c r="B9" s="19">
        <v>972</v>
      </c>
      <c r="C9" t="s">
        <v>260</v>
      </c>
    </row>
    <row r="12" spans="1:4" x14ac:dyDescent="0.25">
      <c r="A12" t="s">
        <v>254</v>
      </c>
      <c r="B12" t="s">
        <v>215</v>
      </c>
    </row>
    <row r="13" spans="1:4" x14ac:dyDescent="0.25">
      <c r="A13" t="s">
        <v>214</v>
      </c>
      <c r="B13">
        <v>1</v>
      </c>
      <c r="C13">
        <v>1</v>
      </c>
      <c r="D13">
        <v>1.2</v>
      </c>
    </row>
    <row r="14" spans="1:4" x14ac:dyDescent="0.25">
      <c r="A14" t="s">
        <v>255</v>
      </c>
      <c r="B14">
        <v>0.5</v>
      </c>
    </row>
    <row r="18" spans="1:3" x14ac:dyDescent="0.25">
      <c r="A18" t="s">
        <v>17</v>
      </c>
      <c r="B18" t="s">
        <v>34</v>
      </c>
      <c r="C18" t="s">
        <v>205</v>
      </c>
    </row>
    <row r="19" spans="1:3" x14ac:dyDescent="0.25">
      <c r="A19" t="s">
        <v>206</v>
      </c>
      <c r="B19" s="3">
        <v>0</v>
      </c>
      <c r="C19" t="s">
        <v>182</v>
      </c>
    </row>
    <row r="20" spans="1:3" x14ac:dyDescent="0.25">
      <c r="A20" t="s">
        <v>164</v>
      </c>
      <c r="B20" s="3">
        <v>1</v>
      </c>
      <c r="C20" t="s">
        <v>261</v>
      </c>
    </row>
    <row r="22" spans="1:3" x14ac:dyDescent="0.25">
      <c r="A22" t="s">
        <v>185</v>
      </c>
      <c r="B22" s="5">
        <v>380</v>
      </c>
      <c r="C22" t="s">
        <v>191</v>
      </c>
    </row>
    <row r="23" spans="1:3" x14ac:dyDescent="0.25">
      <c r="A23" t="s">
        <v>186</v>
      </c>
      <c r="B23" s="5">
        <v>190</v>
      </c>
      <c r="C23" t="s">
        <v>191</v>
      </c>
    </row>
    <row r="25" spans="1:3" x14ac:dyDescent="0.25">
      <c r="A25" t="s">
        <v>189</v>
      </c>
      <c r="B25" s="5">
        <v>390</v>
      </c>
      <c r="C25" t="s">
        <v>192</v>
      </c>
    </row>
    <row r="26" spans="1:3" x14ac:dyDescent="0.25">
      <c r="A26" t="s">
        <v>190</v>
      </c>
      <c r="B26" s="5">
        <v>195</v>
      </c>
      <c r="C26" t="s">
        <v>192</v>
      </c>
    </row>
    <row r="28" spans="1:3" x14ac:dyDescent="0.25">
      <c r="A28" t="s">
        <v>187</v>
      </c>
      <c r="B28" s="5">
        <v>400</v>
      </c>
      <c r="C28" t="s">
        <v>193</v>
      </c>
    </row>
    <row r="29" spans="1:3" x14ac:dyDescent="0.25">
      <c r="A29" t="s">
        <v>188</v>
      </c>
      <c r="B29" s="5">
        <v>200</v>
      </c>
      <c r="C29" t="s">
        <v>193</v>
      </c>
    </row>
    <row r="32" spans="1:3" x14ac:dyDescent="0.25">
      <c r="A32" t="s">
        <v>194</v>
      </c>
      <c r="B32" s="5">
        <v>859365</v>
      </c>
      <c r="C32" t="s">
        <v>180</v>
      </c>
    </row>
    <row r="33" spans="1:3" x14ac:dyDescent="0.25">
      <c r="A33" t="s">
        <v>195</v>
      </c>
      <c r="B33" s="5">
        <v>0</v>
      </c>
    </row>
    <row r="34" spans="1:3" x14ac:dyDescent="0.25">
      <c r="A34" t="s">
        <v>196</v>
      </c>
      <c r="B34" s="5">
        <v>859365</v>
      </c>
    </row>
    <row r="35" spans="1:3" x14ac:dyDescent="0.25">
      <c r="B35" s="5"/>
    </row>
    <row r="36" spans="1:3" x14ac:dyDescent="0.25">
      <c r="A36" t="s">
        <v>146</v>
      </c>
      <c r="B36" s="3">
        <v>0.66</v>
      </c>
      <c r="C36" t="s">
        <v>181</v>
      </c>
    </row>
    <row r="37" spans="1:3" x14ac:dyDescent="0.25">
      <c r="A37" t="s">
        <v>147</v>
      </c>
      <c r="B37" s="3">
        <v>0.22</v>
      </c>
      <c r="C37" t="s">
        <v>181</v>
      </c>
    </row>
    <row r="38" spans="1:3" x14ac:dyDescent="0.25">
      <c r="A38" t="s">
        <v>148</v>
      </c>
      <c r="B38" s="3">
        <v>0.12</v>
      </c>
      <c r="C38" t="s">
        <v>181</v>
      </c>
    </row>
    <row r="39" spans="1:3" x14ac:dyDescent="0.25">
      <c r="B39" s="3"/>
    </row>
    <row r="40" spans="1:3" x14ac:dyDescent="0.25">
      <c r="A40" t="s">
        <v>197</v>
      </c>
      <c r="B40" s="5">
        <v>567180.9</v>
      </c>
      <c r="C40" t="s">
        <v>204</v>
      </c>
    </row>
    <row r="41" spans="1:3" x14ac:dyDescent="0.25">
      <c r="A41" t="s">
        <v>198</v>
      </c>
      <c r="B41" s="5">
        <v>0</v>
      </c>
      <c r="C41" s="7" t="s">
        <v>165</v>
      </c>
    </row>
    <row r="42" spans="1:3" x14ac:dyDescent="0.25">
      <c r="A42" t="s">
        <v>199</v>
      </c>
      <c r="B42" s="5">
        <v>567180.9</v>
      </c>
      <c r="C42" s="7" t="s">
        <v>165</v>
      </c>
    </row>
    <row r="43" spans="1:3" x14ac:dyDescent="0.25">
      <c r="B43" s="5"/>
    </row>
    <row r="44" spans="1:3" x14ac:dyDescent="0.25">
      <c r="A44" t="s">
        <v>160</v>
      </c>
      <c r="B44" s="5">
        <v>189060.3</v>
      </c>
      <c r="C44" t="s">
        <v>204</v>
      </c>
    </row>
    <row r="45" spans="1:3" x14ac:dyDescent="0.25">
      <c r="A45" t="s">
        <v>200</v>
      </c>
      <c r="B45" s="5">
        <v>0</v>
      </c>
      <c r="C45" s="7" t="s">
        <v>165</v>
      </c>
    </row>
    <row r="46" spans="1:3" x14ac:dyDescent="0.25">
      <c r="A46" t="s">
        <v>201</v>
      </c>
      <c r="B46" s="5">
        <v>189060.3</v>
      </c>
      <c r="C46" s="7" t="s">
        <v>165</v>
      </c>
    </row>
    <row r="47" spans="1:3" x14ac:dyDescent="0.25">
      <c r="B47" s="5"/>
    </row>
    <row r="48" spans="1:3" x14ac:dyDescent="0.25">
      <c r="A48" t="s">
        <v>161</v>
      </c>
      <c r="B48" s="5">
        <v>103123.8</v>
      </c>
      <c r="C48" t="s">
        <v>204</v>
      </c>
    </row>
    <row r="49" spans="1:4" x14ac:dyDescent="0.25">
      <c r="A49" t="s">
        <v>202</v>
      </c>
      <c r="B49" s="5">
        <v>0</v>
      </c>
      <c r="C49" s="7" t="s">
        <v>165</v>
      </c>
    </row>
    <row r="50" spans="1:4" x14ac:dyDescent="0.25">
      <c r="A50" t="s">
        <v>203</v>
      </c>
      <c r="B50" s="5">
        <v>103123.8</v>
      </c>
      <c r="C50" s="7" t="s">
        <v>165</v>
      </c>
    </row>
    <row r="51" spans="1:4" x14ac:dyDescent="0.25">
      <c r="B51" t="s">
        <v>264</v>
      </c>
      <c r="C51" t="s">
        <v>265</v>
      </c>
    </row>
    <row r="52" spans="1:4" x14ac:dyDescent="0.25">
      <c r="A52" t="s">
        <v>149</v>
      </c>
      <c r="B52" s="7">
        <v>0.35310000000000002</v>
      </c>
      <c r="C52" s="7">
        <v>0.43889999999999996</v>
      </c>
    </row>
    <row r="53" spans="1:4" x14ac:dyDescent="0.25">
      <c r="A53" t="s">
        <v>150</v>
      </c>
      <c r="B53" s="7">
        <v>0.22</v>
      </c>
      <c r="C53" s="7">
        <v>0.22</v>
      </c>
    </row>
    <row r="54" spans="1:4" x14ac:dyDescent="0.25">
      <c r="A54" t="s">
        <v>151</v>
      </c>
      <c r="B54" s="7">
        <v>0.12</v>
      </c>
      <c r="C54" s="7">
        <v>0.12</v>
      </c>
    </row>
    <row r="55" spans="1:4" x14ac:dyDescent="0.25">
      <c r="A55" t="s">
        <v>152</v>
      </c>
      <c r="B55" s="7">
        <v>0.1716</v>
      </c>
      <c r="C55" s="7">
        <v>8.5800000000000001E-2</v>
      </c>
    </row>
    <row r="56" spans="1:4" x14ac:dyDescent="0.25">
      <c r="A56" t="s">
        <v>153</v>
      </c>
      <c r="B56" s="7">
        <v>3.3000000000000002E-2</v>
      </c>
      <c r="C56" s="7">
        <v>3.3000000000000002E-2</v>
      </c>
    </row>
    <row r="57" spans="1:4" x14ac:dyDescent="0.25">
      <c r="A57" t="s">
        <v>154</v>
      </c>
      <c r="B57" s="7">
        <v>3.9600000000000003E-2</v>
      </c>
      <c r="C57" s="7">
        <v>3.9600000000000003E-2</v>
      </c>
    </row>
    <row r="58" spans="1:4" x14ac:dyDescent="0.25">
      <c r="A58" t="s">
        <v>155</v>
      </c>
      <c r="B58" s="7">
        <v>2.9700000000000001E-2</v>
      </c>
      <c r="C58" s="7">
        <v>2.9700000000000001E-2</v>
      </c>
    </row>
    <row r="59" spans="1:4" x14ac:dyDescent="0.25">
      <c r="A59" t="s">
        <v>156</v>
      </c>
      <c r="B59" s="7">
        <v>2.3100000000000002E-2</v>
      </c>
      <c r="C59" s="7">
        <v>2.3100000000000002E-2</v>
      </c>
    </row>
    <row r="60" spans="1:4" x14ac:dyDescent="0.25">
      <c r="A60" t="s">
        <v>157</v>
      </c>
      <c r="B60" s="7">
        <v>9.9000000000000008E-3</v>
      </c>
      <c r="C60" s="7">
        <v>9.9000000000000008E-3</v>
      </c>
    </row>
    <row r="62" spans="1:4" x14ac:dyDescent="0.25">
      <c r="A62" t="s">
        <v>89</v>
      </c>
      <c r="B62" s="5">
        <v>377175.29849999998</v>
      </c>
      <c r="C62" s="7" t="s">
        <v>183</v>
      </c>
      <c r="D62" s="7"/>
    </row>
    <row r="63" spans="1:4" x14ac:dyDescent="0.25">
      <c r="A63" t="s">
        <v>163</v>
      </c>
      <c r="B63" s="5">
        <v>0</v>
      </c>
      <c r="C63" s="7" t="s">
        <v>209</v>
      </c>
      <c r="D63" s="7"/>
    </row>
    <row r="64" spans="1:4" x14ac:dyDescent="0.25">
      <c r="A64" t="s">
        <v>164</v>
      </c>
      <c r="B64" s="5">
        <v>377175.29849999998</v>
      </c>
      <c r="C64" s="7" t="s">
        <v>209</v>
      </c>
      <c r="D64" s="7"/>
    </row>
    <row r="65" spans="1:6" x14ac:dyDescent="0.25">
      <c r="B65" s="5"/>
      <c r="C65" s="7"/>
      <c r="D65" s="7"/>
    </row>
    <row r="66" spans="1:6" x14ac:dyDescent="0.25">
      <c r="A66" t="s">
        <v>158</v>
      </c>
      <c r="B66" s="5">
        <v>189060.3</v>
      </c>
      <c r="C66" s="7" t="s">
        <v>183</v>
      </c>
    </row>
    <row r="67" spans="1:6" x14ac:dyDescent="0.25">
      <c r="A67" t="s">
        <v>163</v>
      </c>
      <c r="B67" s="5">
        <v>0</v>
      </c>
      <c r="C67" s="7" t="s">
        <v>209</v>
      </c>
      <c r="D67" s="7"/>
    </row>
    <row r="68" spans="1:6" x14ac:dyDescent="0.25">
      <c r="A68" t="s">
        <v>164</v>
      </c>
      <c r="B68" s="5">
        <v>189060.3</v>
      </c>
      <c r="C68" s="7" t="s">
        <v>209</v>
      </c>
      <c r="D68" s="7"/>
    </row>
    <row r="69" spans="1:6" x14ac:dyDescent="0.25">
      <c r="B69" s="5"/>
    </row>
    <row r="70" spans="1:6" x14ac:dyDescent="0.25">
      <c r="A70" t="s">
        <v>159</v>
      </c>
      <c r="B70" s="5">
        <v>103123.8</v>
      </c>
      <c r="C70" s="7" t="s">
        <v>183</v>
      </c>
    </row>
    <row r="71" spans="1:6" x14ac:dyDescent="0.25">
      <c r="A71" t="s">
        <v>163</v>
      </c>
      <c r="B71" s="5">
        <v>0</v>
      </c>
      <c r="C71" s="7" t="s">
        <v>209</v>
      </c>
      <c r="D71" s="7"/>
    </row>
    <row r="72" spans="1:6" x14ac:dyDescent="0.25">
      <c r="A72" t="s">
        <v>164</v>
      </c>
      <c r="B72" s="5">
        <v>103123.8</v>
      </c>
      <c r="C72" s="7" t="s">
        <v>209</v>
      </c>
      <c r="D72" s="7"/>
    </row>
    <row r="73" spans="1:6" x14ac:dyDescent="0.25">
      <c r="B73" s="5"/>
    </row>
    <row r="74" spans="1:6" x14ac:dyDescent="0.25">
      <c r="A74" t="s">
        <v>90</v>
      </c>
      <c r="B74" s="5">
        <v>73733.517000000007</v>
      </c>
      <c r="C74" s="7" t="s">
        <v>183</v>
      </c>
      <c r="D74" s="7"/>
      <c r="E74" s="5"/>
      <c r="F74" s="5"/>
    </row>
    <row r="75" spans="1:6" x14ac:dyDescent="0.25">
      <c r="A75" t="s">
        <v>163</v>
      </c>
      <c r="B75" s="5">
        <v>0</v>
      </c>
      <c r="C75" s="7" t="s">
        <v>209</v>
      </c>
      <c r="D75" s="7"/>
    </row>
    <row r="76" spans="1:6" x14ac:dyDescent="0.25">
      <c r="A76" t="s">
        <v>164</v>
      </c>
      <c r="B76" s="5">
        <v>73733.517000000007</v>
      </c>
      <c r="C76" s="7" t="s">
        <v>209</v>
      </c>
      <c r="D76" s="7"/>
    </row>
    <row r="77" spans="1:6" x14ac:dyDescent="0.25">
      <c r="B77" s="5"/>
      <c r="C77" s="7"/>
    </row>
    <row r="78" spans="1:6" x14ac:dyDescent="0.25">
      <c r="A78" t="s">
        <v>91</v>
      </c>
      <c r="B78" s="5">
        <v>28359.045000000002</v>
      </c>
      <c r="C78" s="7" t="s">
        <v>183</v>
      </c>
      <c r="D78" s="7"/>
      <c r="E78" s="5"/>
      <c r="F78" s="5"/>
    </row>
    <row r="79" spans="1:6" x14ac:dyDescent="0.25">
      <c r="A79" t="s">
        <v>163</v>
      </c>
      <c r="B79" s="5">
        <v>0</v>
      </c>
      <c r="C79" s="7" t="s">
        <v>209</v>
      </c>
      <c r="D79" s="7"/>
    </row>
    <row r="80" spans="1:6" x14ac:dyDescent="0.25">
      <c r="A80" t="s">
        <v>164</v>
      </c>
      <c r="B80" s="5">
        <v>28359.045000000002</v>
      </c>
      <c r="C80" s="7" t="s">
        <v>209</v>
      </c>
      <c r="D80" s="7"/>
    </row>
    <row r="81" spans="1:6" x14ac:dyDescent="0.25">
      <c r="B81" s="5"/>
      <c r="C81" s="7"/>
      <c r="D81" s="7"/>
      <c r="E81" s="5"/>
      <c r="F81" s="5"/>
    </row>
    <row r="82" spans="1:6" x14ac:dyDescent="0.25">
      <c r="A82" t="s">
        <v>92</v>
      </c>
      <c r="B82" s="5">
        <v>34030.853999999999</v>
      </c>
      <c r="C82" s="7" t="s">
        <v>183</v>
      </c>
      <c r="D82" s="7"/>
      <c r="E82" s="5"/>
      <c r="F82" s="5"/>
    </row>
    <row r="83" spans="1:6" x14ac:dyDescent="0.25">
      <c r="A83" t="s">
        <v>163</v>
      </c>
      <c r="B83" s="5">
        <v>0</v>
      </c>
      <c r="C83" s="7" t="s">
        <v>209</v>
      </c>
      <c r="D83" s="7"/>
    </row>
    <row r="84" spans="1:6" x14ac:dyDescent="0.25">
      <c r="A84" t="s">
        <v>164</v>
      </c>
      <c r="B84" s="5">
        <v>34030.853999999999</v>
      </c>
      <c r="C84" s="7" t="s">
        <v>209</v>
      </c>
      <c r="D84" s="7"/>
    </row>
    <row r="85" spans="1:6" x14ac:dyDescent="0.25">
      <c r="B85" s="5"/>
      <c r="C85" s="7"/>
      <c r="D85" s="7"/>
      <c r="E85" s="5"/>
      <c r="F85" s="5"/>
    </row>
    <row r="86" spans="1:6" x14ac:dyDescent="0.25">
      <c r="A86" t="s">
        <v>93</v>
      </c>
      <c r="B86" s="5">
        <v>25523.140500000001</v>
      </c>
      <c r="C86" s="7" t="s">
        <v>183</v>
      </c>
      <c r="E86" s="5"/>
      <c r="F86" s="5"/>
    </row>
    <row r="87" spans="1:6" x14ac:dyDescent="0.25">
      <c r="A87" t="s">
        <v>163</v>
      </c>
      <c r="B87" s="5">
        <v>0</v>
      </c>
      <c r="C87" s="7" t="s">
        <v>209</v>
      </c>
      <c r="D87" s="7"/>
    </row>
    <row r="88" spans="1:6" x14ac:dyDescent="0.25">
      <c r="A88" t="s">
        <v>164</v>
      </c>
      <c r="B88" s="5">
        <v>25523.140500000001</v>
      </c>
      <c r="C88" s="7" t="s">
        <v>209</v>
      </c>
      <c r="D88" s="7"/>
    </row>
    <row r="89" spans="1:6" x14ac:dyDescent="0.25">
      <c r="B89" s="5"/>
      <c r="C89" s="7"/>
      <c r="E89" s="5"/>
      <c r="F89" s="5"/>
    </row>
    <row r="90" spans="1:6" x14ac:dyDescent="0.25">
      <c r="A90" t="s">
        <v>94</v>
      </c>
      <c r="B90" s="5">
        <v>19851.331500000004</v>
      </c>
      <c r="C90" s="7" t="s">
        <v>183</v>
      </c>
      <c r="E90" s="5"/>
      <c r="F90" s="5"/>
    </row>
    <row r="91" spans="1:6" x14ac:dyDescent="0.25">
      <c r="A91" t="s">
        <v>163</v>
      </c>
      <c r="B91" s="5">
        <v>0</v>
      </c>
      <c r="C91" s="7" t="s">
        <v>209</v>
      </c>
      <c r="D91" s="7"/>
    </row>
    <row r="92" spans="1:6" x14ac:dyDescent="0.25">
      <c r="A92" t="s">
        <v>164</v>
      </c>
      <c r="B92" s="5">
        <v>19851.331500000004</v>
      </c>
      <c r="C92" s="7" t="s">
        <v>209</v>
      </c>
      <c r="D92" s="7"/>
    </row>
    <row r="93" spans="1:6" x14ac:dyDescent="0.25">
      <c r="B93" s="5"/>
      <c r="C93" s="7"/>
      <c r="E93" s="5"/>
      <c r="F93" s="5"/>
    </row>
    <row r="94" spans="1:6" x14ac:dyDescent="0.25">
      <c r="A94" t="s">
        <v>162</v>
      </c>
      <c r="B94" s="5">
        <v>8507.7134999999998</v>
      </c>
      <c r="C94" s="7" t="s">
        <v>183</v>
      </c>
      <c r="E94" s="5"/>
      <c r="F94" s="5"/>
    </row>
    <row r="95" spans="1:6" x14ac:dyDescent="0.25">
      <c r="A95" t="s">
        <v>163</v>
      </c>
      <c r="B95" s="5">
        <v>0</v>
      </c>
      <c r="C95" s="7" t="s">
        <v>209</v>
      </c>
      <c r="D95" s="7"/>
    </row>
    <row r="96" spans="1:6" x14ac:dyDescent="0.25">
      <c r="A96" t="s">
        <v>164</v>
      </c>
      <c r="B96" s="5">
        <v>8507.7134999999998</v>
      </c>
      <c r="C96" s="7" t="s">
        <v>209</v>
      </c>
      <c r="D96" s="7"/>
    </row>
    <row r="97" spans="1:9" x14ac:dyDescent="0.25">
      <c r="B97" s="5"/>
      <c r="C97" s="7"/>
      <c r="E97" s="5"/>
      <c r="F97" s="5"/>
    </row>
    <row r="98" spans="1:9" x14ac:dyDescent="0.25">
      <c r="A98" t="s">
        <v>184</v>
      </c>
      <c r="B98" s="5">
        <v>859365</v>
      </c>
      <c r="E98" s="5"/>
      <c r="F98" s="5"/>
    </row>
    <row r="99" spans="1:9" x14ac:dyDescent="0.25">
      <c r="A99" t="s">
        <v>163</v>
      </c>
      <c r="B99" s="5">
        <v>0</v>
      </c>
      <c r="C99" s="7" t="s">
        <v>165</v>
      </c>
      <c r="E99" s="5"/>
      <c r="F99" s="5"/>
      <c r="G99" s="7"/>
    </row>
    <row r="100" spans="1:9" x14ac:dyDescent="0.25">
      <c r="A100" t="s">
        <v>164</v>
      </c>
      <c r="B100" s="5">
        <v>859365</v>
      </c>
      <c r="C100" s="7" t="s">
        <v>165</v>
      </c>
      <c r="E100" s="5"/>
      <c r="F100" s="5"/>
    </row>
    <row r="101" spans="1:9" x14ac:dyDescent="0.25">
      <c r="E101" s="5"/>
      <c r="F101" s="5"/>
    </row>
    <row r="102" spans="1:9" x14ac:dyDescent="0.25">
      <c r="E102" s="5"/>
      <c r="F102" s="5"/>
    </row>
    <row r="103" spans="1:9" x14ac:dyDescent="0.25">
      <c r="A103" t="s">
        <v>213</v>
      </c>
      <c r="B103">
        <v>1.3</v>
      </c>
      <c r="C103" t="s">
        <v>208</v>
      </c>
      <c r="E103" s="5"/>
      <c r="F103" s="5"/>
    </row>
    <row r="104" spans="1:9" x14ac:dyDescent="0.25">
      <c r="A104" t="s">
        <v>218</v>
      </c>
      <c r="B104" s="7">
        <v>0.15</v>
      </c>
    </row>
    <row r="105" spans="1:9" x14ac:dyDescent="0.25">
      <c r="A105" t="s">
        <v>104</v>
      </c>
      <c r="B105" s="7">
        <v>1</v>
      </c>
    </row>
    <row r="109" spans="1:9" x14ac:dyDescent="0.25">
      <c r="A109" t="s">
        <v>216</v>
      </c>
      <c r="B109" s="5">
        <v>8507.7134999999998</v>
      </c>
    </row>
    <row r="110" spans="1:9" x14ac:dyDescent="0.25">
      <c r="A110" t="s">
        <v>9</v>
      </c>
      <c r="B110" t="s">
        <v>212</v>
      </c>
      <c r="C110" t="s">
        <v>138</v>
      </c>
      <c r="D110" t="s">
        <v>113</v>
      </c>
      <c r="E110" t="s">
        <v>251</v>
      </c>
      <c r="F110" t="s">
        <v>219</v>
      </c>
      <c r="G110" t="s">
        <v>217</v>
      </c>
      <c r="H110" t="s">
        <v>115</v>
      </c>
      <c r="I110" s="5"/>
    </row>
    <row r="111" spans="1:9" x14ac:dyDescent="0.25">
      <c r="A111" t="s">
        <v>210</v>
      </c>
      <c r="C111" s="42">
        <v>1.1701609532775943</v>
      </c>
      <c r="D111" s="42">
        <v>5156.8993210943581</v>
      </c>
      <c r="E111" s="42">
        <v>5156.8993210943581</v>
      </c>
      <c r="F111" s="16">
        <v>31.444508055453404</v>
      </c>
      <c r="G111" s="42">
        <v>0</v>
      </c>
      <c r="H111" s="42">
        <v>0</v>
      </c>
    </row>
    <row r="112" spans="1:9" x14ac:dyDescent="0.25">
      <c r="A112" t="s">
        <v>211</v>
      </c>
      <c r="C112" s="64">
        <v>0.20094965302291257</v>
      </c>
      <c r="D112" s="42">
        <v>2101.3636381634146</v>
      </c>
      <c r="E112" s="42">
        <v>2101.3636381634146</v>
      </c>
      <c r="F112" s="16">
        <v>12.813192915630577</v>
      </c>
      <c r="G112" s="42">
        <v>0</v>
      </c>
      <c r="H112" s="42">
        <v>0</v>
      </c>
    </row>
    <row r="113" spans="1:8" x14ac:dyDescent="0.25">
      <c r="A113" t="s">
        <v>114</v>
      </c>
      <c r="B113" s="7">
        <v>0.17802563074934105</v>
      </c>
      <c r="C113" s="42">
        <v>15.236412620497726</v>
      </c>
      <c r="D113" s="42">
        <v>67146.870418533479</v>
      </c>
      <c r="E113" s="42">
        <v>67146.870418533479</v>
      </c>
      <c r="F113" s="16">
        <v>409.43213669837485</v>
      </c>
      <c r="G113" s="42">
        <v>0</v>
      </c>
      <c r="H113" s="42">
        <v>0</v>
      </c>
    </row>
    <row r="114" spans="1:8" x14ac:dyDescent="0.25">
      <c r="A114" t="s">
        <v>137</v>
      </c>
      <c r="B114" s="7">
        <v>0.2414521933527754</v>
      </c>
      <c r="C114" s="42">
        <v>10.358299094834065</v>
      </c>
      <c r="D114" s="42">
        <v>45649.024110933722</v>
      </c>
      <c r="E114" s="42">
        <v>45649.024110933722</v>
      </c>
      <c r="F114" s="16">
        <v>278.34770799349832</v>
      </c>
      <c r="G114" s="42">
        <v>0</v>
      </c>
      <c r="H114" s="42">
        <v>0</v>
      </c>
    </row>
    <row r="115" spans="1:8" x14ac:dyDescent="0.25">
      <c r="A115" t="s">
        <v>10</v>
      </c>
      <c r="B115" s="7">
        <v>0.20934810070097853</v>
      </c>
      <c r="C115" s="42">
        <v>4.8987455564028979</v>
      </c>
      <c r="D115" s="42">
        <v>21588.771667067569</v>
      </c>
      <c r="E115" s="42">
        <v>21588.771667067569</v>
      </c>
      <c r="F115" s="16">
        <v>131.6388516284608</v>
      </c>
      <c r="G115" s="42">
        <v>0</v>
      </c>
      <c r="H115" s="42">
        <v>0</v>
      </c>
    </row>
    <row r="116" spans="1:8" x14ac:dyDescent="0.25">
      <c r="A116" t="s">
        <v>12</v>
      </c>
      <c r="B116" s="7">
        <v>0.17772604768187591</v>
      </c>
      <c r="C116" s="42">
        <v>2.9735345037654661</v>
      </c>
      <c r="D116" s="42">
        <v>13104.366558094409</v>
      </c>
      <c r="E116" s="42">
        <v>13104.366558094409</v>
      </c>
      <c r="F116" s="16">
        <v>79.904674134722001</v>
      </c>
      <c r="G116" s="42">
        <v>0</v>
      </c>
      <c r="H116" s="42">
        <v>0</v>
      </c>
    </row>
    <row r="117" spans="1:8" x14ac:dyDescent="0.25">
      <c r="A117" t="s">
        <v>11</v>
      </c>
      <c r="B117" s="7">
        <v>0.25661331598275372</v>
      </c>
      <c r="C117" s="42">
        <v>1.6513066883490204</v>
      </c>
      <c r="D117" s="42">
        <v>7277.3085755541324</v>
      </c>
      <c r="E117" s="42">
        <v>7277.3085755541324</v>
      </c>
      <c r="F117" s="16">
        <v>44.373832777769103</v>
      </c>
      <c r="G117" s="42">
        <v>0</v>
      </c>
      <c r="H117" s="42">
        <v>0</v>
      </c>
    </row>
    <row r="118" spans="1:8" x14ac:dyDescent="0.25">
      <c r="A118" t="s">
        <v>13</v>
      </c>
      <c r="B118" s="7">
        <v>0.23690981163399683</v>
      </c>
      <c r="C118" s="42">
        <v>1.8294175654377236</v>
      </c>
      <c r="D118" s="42">
        <v>8062.2432108840476</v>
      </c>
      <c r="E118" s="42">
        <v>0</v>
      </c>
      <c r="F118" s="16">
        <v>0</v>
      </c>
      <c r="G118" s="42">
        <v>1209.336481632607</v>
      </c>
      <c r="H118" s="42">
        <v>8062.2432108840476</v>
      </c>
    </row>
    <row r="119" spans="1:8" x14ac:dyDescent="0.25">
      <c r="A119" t="s">
        <v>14</v>
      </c>
      <c r="B119" s="7">
        <v>0.26928922514776915</v>
      </c>
      <c r="C119" s="42">
        <v>1.5595885474433051</v>
      </c>
      <c r="D119" s="42">
        <v>6873.1067285826457</v>
      </c>
      <c r="E119" s="42">
        <v>0</v>
      </c>
      <c r="F119" s="16">
        <v>0</v>
      </c>
      <c r="G119" s="42">
        <v>1030.9660092873969</v>
      </c>
      <c r="H119" s="42">
        <v>6873.1067285826457</v>
      </c>
    </row>
    <row r="120" spans="1:8" x14ac:dyDescent="0.25">
      <c r="A120" t="s">
        <v>15</v>
      </c>
      <c r="B120" s="7">
        <v>0.30389090318710987</v>
      </c>
      <c r="C120" s="42">
        <v>1.3688765734063366</v>
      </c>
      <c r="D120" s="42">
        <v>6032.6390590017254</v>
      </c>
      <c r="E120" s="42">
        <v>6032.6390590017254</v>
      </c>
      <c r="F120" s="16">
        <v>36.784384506108083</v>
      </c>
      <c r="G120" s="42">
        <v>0</v>
      </c>
      <c r="H120" s="42">
        <v>0</v>
      </c>
    </row>
    <row r="121" spans="1:8" x14ac:dyDescent="0.25">
      <c r="A121" t="s">
        <v>207</v>
      </c>
      <c r="B121" s="7">
        <v>0.48268310670613607</v>
      </c>
      <c r="C121" s="42">
        <v>0.93181973749619562</v>
      </c>
      <c r="D121" s="42">
        <v>4106.5295831457343</v>
      </c>
      <c r="E121" s="42">
        <v>0</v>
      </c>
      <c r="F121" s="16">
        <v>0</v>
      </c>
      <c r="G121" s="42">
        <v>615.97943747186014</v>
      </c>
      <c r="H121" s="42">
        <v>4106.5295831457343</v>
      </c>
    </row>
    <row r="122" spans="1:8" x14ac:dyDescent="0.25">
      <c r="A122" t="s">
        <v>16</v>
      </c>
      <c r="D122" s="5"/>
      <c r="E122" s="5">
        <v>168057.24334844283</v>
      </c>
      <c r="F122" s="16">
        <v>1024.739288710017</v>
      </c>
      <c r="G122" s="42">
        <v>2856.2819283918643</v>
      </c>
      <c r="H122" s="42">
        <v>19041.879522612428</v>
      </c>
    </row>
    <row r="123" spans="1:8" x14ac:dyDescent="0.25">
      <c r="G123" s="7"/>
    </row>
    <row r="124" spans="1:8" x14ac:dyDescent="0.25">
      <c r="A124" t="s">
        <v>222</v>
      </c>
    </row>
    <row r="125" spans="1:8" x14ac:dyDescent="0.25">
      <c r="A125" t="s">
        <v>224</v>
      </c>
      <c r="B125" t="s">
        <v>220</v>
      </c>
      <c r="C125" t="s">
        <v>221</v>
      </c>
      <c r="D125" t="s">
        <v>99</v>
      </c>
      <c r="E125" t="s">
        <v>100</v>
      </c>
      <c r="F125" t="s">
        <v>101</v>
      </c>
      <c r="G125" t="s">
        <v>105</v>
      </c>
    </row>
    <row r="126" spans="1:8" x14ac:dyDescent="0.25">
      <c r="A126" t="s">
        <v>223</v>
      </c>
      <c r="B126" s="42">
        <v>26</v>
      </c>
      <c r="C126" s="42">
        <v>26</v>
      </c>
      <c r="D126" s="42">
        <v>26</v>
      </c>
      <c r="E126" s="42">
        <v>26</v>
      </c>
      <c r="F126" s="42">
        <v>26</v>
      </c>
      <c r="G126" s="42"/>
    </row>
    <row r="127" spans="1:8" x14ac:dyDescent="0.25">
      <c r="A127" t="s">
        <v>111</v>
      </c>
      <c r="B127" s="42">
        <v>74318.149999999994</v>
      </c>
      <c r="C127" s="42">
        <v>74318.149999999994</v>
      </c>
      <c r="D127" s="42">
        <v>74318.149999999994</v>
      </c>
      <c r="E127" s="42">
        <v>74318.149999999994</v>
      </c>
      <c r="F127" s="42">
        <v>74318.149999999994</v>
      </c>
      <c r="G127" s="42">
        <v>371590.75</v>
      </c>
    </row>
    <row r="128" spans="1:8" x14ac:dyDescent="0.25">
      <c r="A128" t="s">
        <v>112</v>
      </c>
      <c r="B128" s="42">
        <v>80707.136731682025</v>
      </c>
      <c r="C128" s="42">
        <v>80707.136731682025</v>
      </c>
      <c r="D128" s="42">
        <v>93356.754012697842</v>
      </c>
      <c r="E128" s="42">
        <v>93356.754012697842</v>
      </c>
      <c r="F128" s="42">
        <v>175579.26633930075</v>
      </c>
      <c r="G128" s="42">
        <v>523707.04782806046</v>
      </c>
    </row>
    <row r="129" spans="1:7" x14ac:dyDescent="0.25">
      <c r="A129" t="s">
        <v>112</v>
      </c>
      <c r="B129" s="42">
        <v>155025.28673168202</v>
      </c>
      <c r="C129" s="42">
        <v>155025.28673168202</v>
      </c>
      <c r="D129" s="42">
        <v>167674.90401269784</v>
      </c>
      <c r="E129" s="42">
        <v>167674.90401269784</v>
      </c>
      <c r="F129" s="42">
        <v>249897.41633930075</v>
      </c>
      <c r="G129" s="42">
        <v>895297.79782806046</v>
      </c>
    </row>
    <row r="130" spans="1:7" x14ac:dyDescent="0.25">
      <c r="A130" t="s">
        <v>103</v>
      </c>
    </row>
    <row r="131" spans="1:7" x14ac:dyDescent="0.25">
      <c r="A131" t="s">
        <v>224</v>
      </c>
      <c r="B131" t="s">
        <v>220</v>
      </c>
      <c r="C131" t="s">
        <v>221</v>
      </c>
      <c r="D131" t="s">
        <v>99</v>
      </c>
      <c r="E131" t="s">
        <v>100</v>
      </c>
      <c r="F131" t="s">
        <v>101</v>
      </c>
      <c r="G131" t="s">
        <v>105</v>
      </c>
    </row>
    <row r="132" spans="1:7" x14ac:dyDescent="0.25">
      <c r="A132" t="s">
        <v>107</v>
      </c>
      <c r="B132" s="42">
        <v>35.729879807692306</v>
      </c>
      <c r="C132" s="42">
        <v>35.729879807692306</v>
      </c>
      <c r="D132" s="42">
        <v>35.729879807692306</v>
      </c>
      <c r="E132" s="42">
        <v>35.729879807692306</v>
      </c>
      <c r="F132" s="42">
        <v>35.729879807692306</v>
      </c>
      <c r="G132" s="42">
        <v>35.729879807692306</v>
      </c>
    </row>
    <row r="133" spans="1:7" x14ac:dyDescent="0.25">
      <c r="A133" t="s">
        <v>108</v>
      </c>
      <c r="B133" s="42">
        <v>39.407061030430839</v>
      </c>
      <c r="C133" s="42">
        <v>39.407061030430839</v>
      </c>
      <c r="D133" s="42">
        <v>42.449954110349232</v>
      </c>
      <c r="E133" s="42">
        <v>42.449954110349232</v>
      </c>
      <c r="F133" s="42">
        <v>66.793098749696412</v>
      </c>
      <c r="G133" s="42">
        <v>46.101425806251314</v>
      </c>
    </row>
    <row r="134" spans="1:7" x14ac:dyDescent="0.25">
      <c r="A134" t="s">
        <v>109</v>
      </c>
      <c r="B134" s="42">
        <v>75.136940838123138</v>
      </c>
      <c r="C134" s="42">
        <v>75.136940838123138</v>
      </c>
      <c r="D134" s="42">
        <v>78.179833918041538</v>
      </c>
      <c r="E134" s="42">
        <v>78.179833918041538</v>
      </c>
      <c r="F134" s="42">
        <v>102.52297855738871</v>
      </c>
      <c r="G134" s="42">
        <v>81.831305613943613</v>
      </c>
    </row>
    <row r="135" spans="1:7" x14ac:dyDescent="0.25">
      <c r="A135" t="s">
        <v>110</v>
      </c>
      <c r="B135" s="7">
        <v>0.49908706107917911</v>
      </c>
      <c r="C135" s="7">
        <v>0.49908706107917911</v>
      </c>
      <c r="D135" s="7">
        <v>0.49884721847409269</v>
      </c>
      <c r="E135" s="7">
        <v>0.49884721847409269</v>
      </c>
      <c r="F135" s="7">
        <v>0.49988790947615264</v>
      </c>
      <c r="G135" s="7">
        <v>0.50102862430522188</v>
      </c>
    </row>
    <row r="136" spans="1:7" x14ac:dyDescent="0.25">
      <c r="A136" s="5" t="s">
        <v>106</v>
      </c>
      <c r="B136" s="42">
        <v>150</v>
      </c>
      <c r="C136" s="42">
        <v>150</v>
      </c>
      <c r="D136" s="42">
        <v>156</v>
      </c>
      <c r="E136" s="42">
        <v>156</v>
      </c>
      <c r="F136" s="42">
        <v>205</v>
      </c>
      <c r="G136" s="42">
        <v>164</v>
      </c>
    </row>
    <row r="137" spans="1:7" x14ac:dyDescent="0.25">
      <c r="A137" t="s">
        <v>98</v>
      </c>
    </row>
    <row r="139" spans="1:7" x14ac:dyDescent="0.25">
      <c r="A139" t="s">
        <v>237</v>
      </c>
      <c r="B139" s="19">
        <v>0.30454538370558248</v>
      </c>
      <c r="C139" t="s">
        <v>239</v>
      </c>
      <c r="D139" s="5"/>
      <c r="E139" s="5"/>
      <c r="F139" s="5"/>
      <c r="G139" s="5"/>
    </row>
    <row r="140" spans="1:7" x14ac:dyDescent="0.25">
      <c r="A140" t="s">
        <v>238</v>
      </c>
      <c r="B140" s="19">
        <v>0.27070700773829554</v>
      </c>
      <c r="C140" t="s">
        <v>239</v>
      </c>
      <c r="D140" s="5"/>
      <c r="E140" s="5"/>
      <c r="F140" s="5"/>
      <c r="G140" s="5"/>
    </row>
    <row r="141" spans="1:7" x14ac:dyDescent="0.25">
      <c r="A141" t="s">
        <v>247</v>
      </c>
      <c r="B141" s="19">
        <v>0</v>
      </c>
      <c r="C141" t="s">
        <v>239</v>
      </c>
      <c r="D141" s="5"/>
      <c r="E141" s="5"/>
      <c r="F141" s="5"/>
      <c r="G141" s="5"/>
    </row>
    <row r="142" spans="1:7" x14ac:dyDescent="0.25">
      <c r="A142" t="s">
        <v>248</v>
      </c>
      <c r="B142" s="19">
        <v>1371.9566505680684</v>
      </c>
      <c r="C142" t="s">
        <v>239</v>
      </c>
      <c r="D142" s="5"/>
      <c r="E142" s="5"/>
      <c r="F142" s="5"/>
      <c r="G142" s="5"/>
    </row>
    <row r="143" spans="1:7" x14ac:dyDescent="0.25">
      <c r="A143" t="s">
        <v>9</v>
      </c>
      <c r="B143" s="5" t="s">
        <v>225</v>
      </c>
      <c r="C143" s="5" t="s">
        <v>139</v>
      </c>
      <c r="D143" s="5" t="s">
        <v>240</v>
      </c>
      <c r="E143" s="5" t="s">
        <v>241</v>
      </c>
      <c r="F143" s="5"/>
      <c r="G143" s="5"/>
    </row>
    <row r="144" spans="1:7" x14ac:dyDescent="0.25">
      <c r="A144" t="s">
        <v>210</v>
      </c>
      <c r="B144" s="7">
        <v>2.7562391752356762E-2</v>
      </c>
      <c r="C144" s="19">
        <v>37.814406670208335</v>
      </c>
      <c r="D144" s="19">
        <v>37.814406670208335</v>
      </c>
    </row>
    <row r="145" spans="1:7" x14ac:dyDescent="0.25">
      <c r="A145" t="s">
        <v>211</v>
      </c>
      <c r="B145" s="7">
        <v>1.1231285352479336E-2</v>
      </c>
      <c r="C145" s="19">
        <v>15.408836633761759</v>
      </c>
      <c r="D145" s="19">
        <v>15.408836633761759</v>
      </c>
      <c r="E145" s="5"/>
      <c r="F145" s="5"/>
      <c r="G145" s="5"/>
    </row>
    <row r="146" spans="1:7" x14ac:dyDescent="0.25">
      <c r="A146" t="s">
        <v>114</v>
      </c>
      <c r="B146" s="7">
        <v>0.35888394017116626</v>
      </c>
      <c r="C146" s="19">
        <v>492.37320849990431</v>
      </c>
      <c r="D146" s="19">
        <v>492.37320849990431</v>
      </c>
    </row>
    <row r="147" spans="1:7" x14ac:dyDescent="0.25">
      <c r="A147" t="s">
        <v>137</v>
      </c>
      <c r="B147" s="7">
        <v>0.24398310056426109</v>
      </c>
      <c r="C147" s="19">
        <v>334.73423744535586</v>
      </c>
      <c r="D147" s="19">
        <v>334.73423744535586</v>
      </c>
    </row>
    <row r="148" spans="1:7" x14ac:dyDescent="0.25">
      <c r="A148" t="s">
        <v>10</v>
      </c>
      <c r="B148" s="7">
        <v>0.11538681387590519</v>
      </c>
      <c r="C148" s="19">
        <v>158.30570668490799</v>
      </c>
      <c r="D148" s="19">
        <v>158.30570668490799</v>
      </c>
    </row>
    <row r="149" spans="1:7" x14ac:dyDescent="0.25">
      <c r="A149" t="s">
        <v>12</v>
      </c>
      <c r="B149" s="7">
        <v>7.0039700651753772E-2</v>
      </c>
      <c r="C149" s="19">
        <v>96.091433112970265</v>
      </c>
      <c r="D149" s="19">
        <v>96.091433112970265</v>
      </c>
    </row>
    <row r="150" spans="1:7" x14ac:dyDescent="0.25">
      <c r="A150" t="s">
        <v>11</v>
      </c>
      <c r="B150" s="7">
        <v>3.8895471362361753E-2</v>
      </c>
      <c r="C150" s="19">
        <v>53.362900612572055</v>
      </c>
      <c r="D150" s="19">
        <v>53.362900612572055</v>
      </c>
    </row>
    <row r="151" spans="1:7" x14ac:dyDescent="0.25">
      <c r="A151" t="s">
        <v>13</v>
      </c>
      <c r="B151" s="7">
        <v>4.3090758990037455E-2</v>
      </c>
      <c r="C151" s="19">
        <v>59.118653374407671</v>
      </c>
      <c r="D151" s="19"/>
      <c r="E151" s="19">
        <v>59.118653374407671</v>
      </c>
    </row>
    <row r="152" spans="1:7" x14ac:dyDescent="0.25">
      <c r="A152" t="s">
        <v>14</v>
      </c>
      <c r="B152" s="7">
        <v>3.6735109299894708E-2</v>
      </c>
      <c r="C152" s="19">
        <v>50.398977513335446</v>
      </c>
      <c r="D152" s="19"/>
      <c r="E152" s="19">
        <v>50.398977513335446</v>
      </c>
    </row>
    <row r="153" spans="1:7" x14ac:dyDescent="0.25">
      <c r="A153" t="s">
        <v>15</v>
      </c>
      <c r="B153" s="7">
        <v>3.2243010904756043E-2</v>
      </c>
      <c r="C153" s="19">
        <v>44.236013245118805</v>
      </c>
      <c r="D153" s="19">
        <v>44.236013245118805</v>
      </c>
    </row>
    <row r="154" spans="1:7" x14ac:dyDescent="0.25">
      <c r="A154" t="s">
        <v>207</v>
      </c>
      <c r="B154" s="7">
        <v>2.1948417075027482E-2</v>
      </c>
      <c r="C154" s="19">
        <v>30.112276775525707</v>
      </c>
      <c r="D154" s="19"/>
      <c r="E154" s="19">
        <v>30.112276775525707</v>
      </c>
    </row>
    <row r="155" spans="1:7" x14ac:dyDescent="0.25">
      <c r="A155" t="s">
        <v>16</v>
      </c>
      <c r="B155" s="7">
        <v>0.99999999999999978</v>
      </c>
      <c r="C155" s="19">
        <v>1371.9566505680682</v>
      </c>
      <c r="D155" s="19">
        <v>1232.3267429047994</v>
      </c>
      <c r="E155" s="19">
        <v>139.62990766326882</v>
      </c>
    </row>
    <row r="159" spans="1:7" x14ac:dyDescent="0.25">
      <c r="A159" t="s">
        <v>226</v>
      </c>
    </row>
    <row r="160" spans="1:7" x14ac:dyDescent="0.25">
      <c r="A160" t="s">
        <v>102</v>
      </c>
      <c r="B160" s="7">
        <v>0.08</v>
      </c>
      <c r="C160" s="19">
        <v>98.586139432383959</v>
      </c>
    </row>
    <row r="161" spans="1:7" x14ac:dyDescent="0.25">
      <c r="A161" t="s">
        <v>141</v>
      </c>
      <c r="B161" s="7">
        <v>0.08</v>
      </c>
      <c r="C161" s="19">
        <v>98.586139432383959</v>
      </c>
    </row>
    <row r="162" spans="1:7" x14ac:dyDescent="0.25">
      <c r="A162" t="s">
        <v>140</v>
      </c>
      <c r="B162" s="7">
        <v>0.34</v>
      </c>
      <c r="C162" s="19">
        <v>418.99109258763184</v>
      </c>
    </row>
    <row r="163" spans="1:7" x14ac:dyDescent="0.25">
      <c r="A163" t="s">
        <v>142</v>
      </c>
      <c r="B163" s="7">
        <v>0.08</v>
      </c>
      <c r="C163" s="19">
        <v>98.586139432383959</v>
      </c>
    </row>
    <row r="164" spans="1:7" x14ac:dyDescent="0.25">
      <c r="A164" t="s">
        <v>143</v>
      </c>
      <c r="B164" s="7">
        <v>0.34</v>
      </c>
      <c r="C164" s="19">
        <v>418.99109258763184</v>
      </c>
    </row>
    <row r="165" spans="1:7" x14ac:dyDescent="0.25">
      <c r="A165" t="s">
        <v>144</v>
      </c>
      <c r="B165" s="7">
        <v>0.08</v>
      </c>
      <c r="C165" s="19">
        <v>98.586139432383959</v>
      </c>
    </row>
    <row r="166" spans="1:7" x14ac:dyDescent="0.25">
      <c r="A166" t="s">
        <v>145</v>
      </c>
      <c r="B166" s="7">
        <v>0.99999999999999989</v>
      </c>
      <c r="C166" s="19">
        <v>1232.3267429047996</v>
      </c>
    </row>
    <row r="170" spans="1:7" x14ac:dyDescent="0.25">
      <c r="A170" t="s">
        <v>242</v>
      </c>
      <c r="B170" t="s">
        <v>227</v>
      </c>
      <c r="C170" t="s">
        <v>228</v>
      </c>
      <c r="D170" t="s">
        <v>229</v>
      </c>
      <c r="E170" t="s">
        <v>230</v>
      </c>
      <c r="F170" t="s">
        <v>231</v>
      </c>
      <c r="G170" t="s">
        <v>244</v>
      </c>
    </row>
    <row r="171" spans="1:7" x14ac:dyDescent="0.25">
      <c r="A171" t="s">
        <v>102</v>
      </c>
      <c r="B171" s="7">
        <v>0.37</v>
      </c>
      <c r="C171" s="7">
        <v>0.37</v>
      </c>
      <c r="D171" s="7">
        <v>0.1</v>
      </c>
      <c r="E171" s="7">
        <v>0.02</v>
      </c>
      <c r="F171" s="7">
        <v>0.14000000000000001</v>
      </c>
      <c r="G171" s="7">
        <v>1</v>
      </c>
    </row>
    <row r="172" spans="1:7" x14ac:dyDescent="0.25">
      <c r="A172" t="s">
        <v>141</v>
      </c>
      <c r="B172" s="7">
        <v>0</v>
      </c>
      <c r="C172" s="7">
        <v>0</v>
      </c>
      <c r="D172" s="7">
        <v>0.95</v>
      </c>
      <c r="E172" s="7">
        <v>0</v>
      </c>
      <c r="F172" s="7">
        <v>0.05</v>
      </c>
      <c r="G172" s="7">
        <v>1</v>
      </c>
    </row>
    <row r="173" spans="1:7" x14ac:dyDescent="0.25">
      <c r="A173" t="s">
        <v>140</v>
      </c>
      <c r="B173" s="7">
        <v>0.32</v>
      </c>
      <c r="C173" s="7">
        <v>0.32</v>
      </c>
      <c r="D173" s="7">
        <v>0.32</v>
      </c>
      <c r="E173" s="7">
        <v>0.02</v>
      </c>
      <c r="F173" s="7">
        <v>0.02</v>
      </c>
      <c r="G173" s="7">
        <v>1</v>
      </c>
    </row>
    <row r="174" spans="1:7" x14ac:dyDescent="0.25">
      <c r="A174" t="s">
        <v>142</v>
      </c>
      <c r="B174" s="7">
        <v>0.32</v>
      </c>
      <c r="C174" s="7">
        <v>0.32</v>
      </c>
      <c r="D174" s="7">
        <v>0.32</v>
      </c>
      <c r="E174" s="7">
        <v>0.02</v>
      </c>
      <c r="F174" s="7">
        <v>0.02</v>
      </c>
      <c r="G174" s="7">
        <v>1</v>
      </c>
    </row>
    <row r="175" spans="1:7" x14ac:dyDescent="0.25">
      <c r="A175" t="s">
        <v>143</v>
      </c>
      <c r="B175" s="7">
        <v>0.26</v>
      </c>
      <c r="C175" s="7">
        <v>0.26</v>
      </c>
      <c r="D175" s="7">
        <v>0.1</v>
      </c>
      <c r="E175" s="7">
        <v>0.32</v>
      </c>
      <c r="F175" s="7">
        <v>0.06</v>
      </c>
      <c r="G175" s="7">
        <v>1</v>
      </c>
    </row>
    <row r="176" spans="1:7" x14ac:dyDescent="0.25">
      <c r="A176" t="s">
        <v>144</v>
      </c>
      <c r="B176" s="7">
        <v>0.26</v>
      </c>
      <c r="C176" s="7">
        <v>0.26</v>
      </c>
      <c r="D176" s="7">
        <v>0.1</v>
      </c>
      <c r="E176" s="7">
        <v>0.32</v>
      </c>
      <c r="F176" s="7">
        <v>0.06</v>
      </c>
      <c r="G176" s="7">
        <v>1</v>
      </c>
    </row>
    <row r="177" spans="1:7" x14ac:dyDescent="0.25">
      <c r="A177" t="s">
        <v>245</v>
      </c>
      <c r="B177" s="7">
        <v>0.27320000000000005</v>
      </c>
      <c r="C177" s="7">
        <v>0.27320000000000005</v>
      </c>
      <c r="D177" s="7">
        <v>0.26040000000000002</v>
      </c>
      <c r="E177" s="7">
        <v>0.14440000000000003</v>
      </c>
      <c r="F177" s="7">
        <v>4.8800000000000003E-2</v>
      </c>
      <c r="G177" s="7">
        <v>1.0000000000000002</v>
      </c>
    </row>
    <row r="178" spans="1:7" x14ac:dyDescent="0.25">
      <c r="A178" t="s">
        <v>243</v>
      </c>
      <c r="B178" t="s">
        <v>232</v>
      </c>
      <c r="C178" t="s">
        <v>233</v>
      </c>
      <c r="D178" t="s">
        <v>234</v>
      </c>
      <c r="E178" t="s">
        <v>235</v>
      </c>
      <c r="F178" t="s">
        <v>236</v>
      </c>
      <c r="G178" t="s">
        <v>145</v>
      </c>
    </row>
    <row r="179" spans="1:7" x14ac:dyDescent="0.25">
      <c r="A179" t="s">
        <v>102</v>
      </c>
      <c r="B179" s="16">
        <v>36</v>
      </c>
      <c r="C179" s="16">
        <v>36</v>
      </c>
      <c r="D179" s="16">
        <v>10</v>
      </c>
      <c r="E179" s="16">
        <v>2</v>
      </c>
      <c r="F179" s="16">
        <v>14</v>
      </c>
      <c r="G179" s="16">
        <v>98</v>
      </c>
    </row>
    <row r="180" spans="1:7" x14ac:dyDescent="0.25">
      <c r="A180" t="s">
        <v>141</v>
      </c>
      <c r="B180" s="16">
        <v>0</v>
      </c>
      <c r="C180" s="16">
        <v>0</v>
      </c>
      <c r="D180" s="16">
        <v>94</v>
      </c>
      <c r="E180" s="16">
        <v>0</v>
      </c>
      <c r="F180" s="16">
        <v>5</v>
      </c>
      <c r="G180" s="16">
        <v>99</v>
      </c>
    </row>
    <row r="181" spans="1:7" x14ac:dyDescent="0.25">
      <c r="A181" t="s">
        <v>140</v>
      </c>
      <c r="B181" s="16">
        <v>134</v>
      </c>
      <c r="C181" s="16">
        <v>134</v>
      </c>
      <c r="D181" s="16">
        <v>134</v>
      </c>
      <c r="E181" s="16">
        <v>8</v>
      </c>
      <c r="F181" s="16">
        <v>8</v>
      </c>
      <c r="G181" s="16">
        <v>418</v>
      </c>
    </row>
    <row r="182" spans="1:7" x14ac:dyDescent="0.25">
      <c r="A182" t="s">
        <v>142</v>
      </c>
      <c r="B182" s="16">
        <v>32</v>
      </c>
      <c r="C182" s="16">
        <v>32</v>
      </c>
      <c r="D182" s="16">
        <v>32</v>
      </c>
      <c r="E182" s="16">
        <v>2</v>
      </c>
      <c r="F182" s="16">
        <v>2</v>
      </c>
      <c r="G182" s="16">
        <v>100</v>
      </c>
    </row>
    <row r="183" spans="1:7" x14ac:dyDescent="0.25">
      <c r="A183" t="s">
        <v>143</v>
      </c>
      <c r="B183" s="16">
        <v>109</v>
      </c>
      <c r="C183" s="16">
        <v>109</v>
      </c>
      <c r="D183" s="16">
        <v>42</v>
      </c>
      <c r="E183" s="16">
        <v>134</v>
      </c>
      <c r="F183" s="16">
        <v>25</v>
      </c>
      <c r="G183" s="16">
        <v>419</v>
      </c>
    </row>
    <row r="184" spans="1:7" x14ac:dyDescent="0.25">
      <c r="A184" t="s">
        <v>144</v>
      </c>
      <c r="B184" s="16">
        <v>26</v>
      </c>
      <c r="C184" s="16">
        <v>26</v>
      </c>
      <c r="D184" s="16">
        <v>10</v>
      </c>
      <c r="E184" s="16">
        <v>32</v>
      </c>
      <c r="F184" s="16">
        <v>6</v>
      </c>
      <c r="G184" s="16">
        <v>100</v>
      </c>
    </row>
    <row r="185" spans="1:7" x14ac:dyDescent="0.25">
      <c r="A185" t="s">
        <v>16</v>
      </c>
      <c r="B185" s="19">
        <v>337</v>
      </c>
      <c r="C185" s="19">
        <v>337</v>
      </c>
      <c r="D185" s="19">
        <v>322</v>
      </c>
      <c r="E185" s="19">
        <v>178</v>
      </c>
      <c r="F185" s="19">
        <v>60</v>
      </c>
      <c r="G185" s="16">
        <v>1234</v>
      </c>
    </row>
    <row r="186" spans="1:7" x14ac:dyDescent="0.25">
      <c r="A186" t="s">
        <v>246</v>
      </c>
      <c r="B186" t="s">
        <v>232</v>
      </c>
      <c r="C186" t="s">
        <v>233</v>
      </c>
      <c r="D186" t="s">
        <v>234</v>
      </c>
      <c r="E186" t="s">
        <v>235</v>
      </c>
      <c r="F186" t="s">
        <v>236</v>
      </c>
      <c r="G186" t="s">
        <v>145</v>
      </c>
    </row>
    <row r="187" spans="1:7" x14ac:dyDescent="0.25">
      <c r="A187" t="s">
        <v>102</v>
      </c>
      <c r="B187" s="42">
        <v>4320</v>
      </c>
      <c r="C187" s="42">
        <v>4320</v>
      </c>
      <c r="D187" s="42">
        <v>1248</v>
      </c>
      <c r="E187" s="42">
        <v>249.60000000000002</v>
      </c>
      <c r="F187" s="42">
        <v>2296</v>
      </c>
      <c r="G187" s="42">
        <v>12433.6</v>
      </c>
    </row>
    <row r="188" spans="1:7" x14ac:dyDescent="0.25">
      <c r="A188" t="s">
        <v>141</v>
      </c>
      <c r="B188" s="42">
        <v>0</v>
      </c>
      <c r="C188" s="42">
        <v>0</v>
      </c>
      <c r="D188" s="42">
        <v>11731.2</v>
      </c>
      <c r="E188" s="42">
        <v>0</v>
      </c>
      <c r="F188" s="42">
        <v>820</v>
      </c>
      <c r="G188" s="42">
        <v>12551.2</v>
      </c>
    </row>
    <row r="189" spans="1:7" x14ac:dyDescent="0.25">
      <c r="A189" t="s">
        <v>140</v>
      </c>
      <c r="B189" s="42">
        <v>16080</v>
      </c>
      <c r="C189" s="42">
        <v>16080</v>
      </c>
      <c r="D189" s="42">
        <v>16723.2</v>
      </c>
      <c r="E189" s="42">
        <v>998.40000000000009</v>
      </c>
      <c r="F189" s="42">
        <v>1312</v>
      </c>
      <c r="G189" s="42">
        <v>51193.599999999999</v>
      </c>
    </row>
    <row r="190" spans="1:7" x14ac:dyDescent="0.25">
      <c r="A190" t="s">
        <v>142</v>
      </c>
      <c r="B190" s="42">
        <v>3840</v>
      </c>
      <c r="C190" s="42">
        <v>3840</v>
      </c>
      <c r="D190" s="42">
        <v>3993.6000000000004</v>
      </c>
      <c r="E190" s="42">
        <v>249.60000000000002</v>
      </c>
      <c r="F190" s="42">
        <v>328</v>
      </c>
      <c r="G190" s="42">
        <v>12251.2</v>
      </c>
    </row>
    <row r="191" spans="1:7" x14ac:dyDescent="0.25">
      <c r="A191" t="s">
        <v>143</v>
      </c>
      <c r="B191" s="42">
        <v>13080</v>
      </c>
      <c r="C191" s="42">
        <v>13080</v>
      </c>
      <c r="D191" s="42">
        <v>5241.6000000000004</v>
      </c>
      <c r="E191" s="42">
        <v>16723.2</v>
      </c>
      <c r="F191" s="42">
        <v>4100</v>
      </c>
      <c r="G191" s="42">
        <v>52224.800000000003</v>
      </c>
    </row>
    <row r="192" spans="1:7" x14ac:dyDescent="0.25">
      <c r="A192" t="s">
        <v>144</v>
      </c>
      <c r="B192" s="42">
        <v>3120</v>
      </c>
      <c r="C192" s="42">
        <v>3120</v>
      </c>
      <c r="D192" s="42">
        <v>1248</v>
      </c>
      <c r="E192" s="42">
        <v>3993.6000000000004</v>
      </c>
      <c r="F192" s="42">
        <v>984</v>
      </c>
      <c r="G192" s="42">
        <v>12465.6</v>
      </c>
    </row>
    <row r="193" spans="1:7" x14ac:dyDescent="0.25">
      <c r="A193" t="s">
        <v>16</v>
      </c>
      <c r="B193" s="42">
        <v>40440</v>
      </c>
      <c r="C193" s="42">
        <v>40440</v>
      </c>
      <c r="D193" s="42">
        <v>40185.599999999999</v>
      </c>
      <c r="E193" s="42">
        <v>22214.400000000001</v>
      </c>
      <c r="F193" s="42">
        <v>9840</v>
      </c>
      <c r="G193" s="42">
        <v>153120</v>
      </c>
    </row>
    <row r="197" spans="1:7" x14ac:dyDescent="0.25">
      <c r="A197" t="s">
        <v>249</v>
      </c>
      <c r="B197" t="s">
        <v>256</v>
      </c>
      <c r="C197" t="s">
        <v>252</v>
      </c>
      <c r="D197" t="s">
        <v>253</v>
      </c>
      <c r="E197" t="s">
        <v>113</v>
      </c>
      <c r="F197" t="s">
        <v>262</v>
      </c>
      <c r="G197" t="s">
        <v>263</v>
      </c>
    </row>
    <row r="198" spans="1:7" x14ac:dyDescent="0.25">
      <c r="A198" t="s">
        <v>250</v>
      </c>
      <c r="B198" s="7">
        <v>0.19555979513762234</v>
      </c>
      <c r="C198" s="5">
        <v>38.134160051836361</v>
      </c>
      <c r="D198" s="16">
        <v>1024.739288710017</v>
      </c>
      <c r="E198" s="42">
        <v>168057.24334844283</v>
      </c>
      <c r="F198" s="7">
        <v>-0.13889765288580436</v>
      </c>
      <c r="G198" s="5">
        <v>-23342.756651557167</v>
      </c>
    </row>
    <row r="199" spans="1:7" x14ac:dyDescent="0.25">
      <c r="A199" t="s">
        <v>257</v>
      </c>
      <c r="B199" s="7">
        <v>0.22272259168106684</v>
      </c>
      <c r="C199" s="5">
        <v>35.582822085889568</v>
      </c>
      <c r="D199" s="16">
        <v>1234</v>
      </c>
      <c r="E199" s="42">
        <v>191400</v>
      </c>
      <c r="F199" s="7">
        <v>0.12195797623593087</v>
      </c>
      <c r="G199" s="5">
        <v>23342.756651557167</v>
      </c>
    </row>
    <row r="200" spans="1:7" x14ac:dyDescent="0.25">
      <c r="B200" s="7"/>
      <c r="C200" s="5"/>
      <c r="D200" s="16"/>
      <c r="E200" s="42"/>
      <c r="F200" s="7"/>
      <c r="G200" s="5"/>
    </row>
    <row r="201" spans="1:7" x14ac:dyDescent="0.25">
      <c r="B201" s="7"/>
      <c r="C201" s="5"/>
      <c r="D201" s="16"/>
      <c r="E201" s="42"/>
      <c r="F201" s="7"/>
      <c r="G201" s="5"/>
    </row>
    <row r="202" spans="1:7" x14ac:dyDescent="0.25">
      <c r="A202" t="s">
        <v>266</v>
      </c>
      <c r="E202" s="42">
        <v>191400</v>
      </c>
    </row>
    <row r="203" spans="1:7" x14ac:dyDescent="0.25">
      <c r="A203" t="s">
        <v>270</v>
      </c>
      <c r="E203" s="42">
        <v>-11671.378325778584</v>
      </c>
      <c r="F203" s="5"/>
    </row>
    <row r="204" spans="1:7" x14ac:dyDescent="0.25">
      <c r="A204" t="s">
        <v>267</v>
      </c>
      <c r="B204" s="7">
        <v>0.20914119340934459</v>
      </c>
      <c r="D204" s="16">
        <v>1167.0731707317073</v>
      </c>
      <c r="E204" s="42">
        <v>179728.62167422142</v>
      </c>
    </row>
    <row r="205" spans="1:7" x14ac:dyDescent="0.25">
      <c r="A205" t="s">
        <v>268</v>
      </c>
      <c r="E205" s="7">
        <v>6.0978988117965427E-2</v>
      </c>
    </row>
    <row r="206" spans="1:7" x14ac:dyDescent="0.25">
      <c r="A206" t="s">
        <v>271</v>
      </c>
      <c r="E206" s="7">
        <v>0.2</v>
      </c>
    </row>
    <row r="207" spans="1:7" x14ac:dyDescent="0.25">
      <c r="A207" t="s">
        <v>272</v>
      </c>
      <c r="E207" s="7">
        <v>-0.2</v>
      </c>
    </row>
    <row r="208" spans="1:7" x14ac:dyDescent="0.25">
      <c r="A208" t="s">
        <v>266</v>
      </c>
      <c r="E208" s="42">
        <v>191400</v>
      </c>
    </row>
    <row r="209" spans="1:7" x14ac:dyDescent="0.25">
      <c r="A209" t="s">
        <v>268</v>
      </c>
      <c r="E209" s="42">
        <v>-38280</v>
      </c>
    </row>
    <row r="210" spans="1:7" x14ac:dyDescent="0.25">
      <c r="A210" t="s">
        <v>269</v>
      </c>
      <c r="B210" s="7">
        <v>0.17817807334485347</v>
      </c>
      <c r="C210" s="5">
        <v>28.466257668711656</v>
      </c>
      <c r="D210" s="16">
        <v>933.65853658536582</v>
      </c>
      <c r="E210" s="42">
        <v>153120</v>
      </c>
    </row>
    <row r="211" spans="1:7" x14ac:dyDescent="0.25">
      <c r="E211" s="42"/>
    </row>
    <row r="212" spans="1:7" x14ac:dyDescent="0.25">
      <c r="A212" t="s">
        <v>273</v>
      </c>
    </row>
    <row r="213" spans="1:7" x14ac:dyDescent="0.25">
      <c r="A213" t="s">
        <v>102</v>
      </c>
      <c r="B213" s="7">
        <v>0.08</v>
      </c>
      <c r="C213" s="16">
        <v>74.692682926829264</v>
      </c>
    </row>
    <row r="214" spans="1:7" x14ac:dyDescent="0.25">
      <c r="A214" t="s">
        <v>141</v>
      </c>
      <c r="B214" s="7">
        <v>0.08</v>
      </c>
      <c r="C214" s="16">
        <v>74.692682926829264</v>
      </c>
    </row>
    <row r="215" spans="1:7" x14ac:dyDescent="0.25">
      <c r="A215" t="s">
        <v>140</v>
      </c>
      <c r="B215" s="7">
        <v>0.34</v>
      </c>
      <c r="C215" s="16">
        <v>317.44390243902438</v>
      </c>
    </row>
    <row r="216" spans="1:7" x14ac:dyDescent="0.25">
      <c r="A216" t="s">
        <v>142</v>
      </c>
      <c r="B216" s="7">
        <v>0.08</v>
      </c>
      <c r="C216" s="16">
        <v>74.692682926829264</v>
      </c>
    </row>
    <row r="217" spans="1:7" x14ac:dyDescent="0.25">
      <c r="A217" t="s">
        <v>143</v>
      </c>
      <c r="B217" s="7">
        <v>0.34</v>
      </c>
      <c r="C217" s="16">
        <v>317.44390243902438</v>
      </c>
    </row>
    <row r="218" spans="1:7" x14ac:dyDescent="0.25">
      <c r="A218" t="s">
        <v>144</v>
      </c>
      <c r="B218" s="7">
        <v>0.08</v>
      </c>
      <c r="C218" s="16">
        <v>74.692682926829264</v>
      </c>
    </row>
    <row r="219" spans="1:7" x14ac:dyDescent="0.25">
      <c r="A219" t="s">
        <v>145</v>
      </c>
      <c r="B219" s="7">
        <v>0.99999999999999989</v>
      </c>
      <c r="C219" s="16">
        <v>933.65853658536594</v>
      </c>
    </row>
    <row r="220" spans="1:7" x14ac:dyDescent="0.25">
      <c r="B220" s="7"/>
      <c r="C220" s="16"/>
    </row>
    <row r="221" spans="1:7" x14ac:dyDescent="0.25">
      <c r="A221" t="s">
        <v>274</v>
      </c>
      <c r="B221" t="s">
        <v>232</v>
      </c>
      <c r="C221" t="s">
        <v>233</v>
      </c>
      <c r="D221" t="s">
        <v>234</v>
      </c>
      <c r="E221" t="s">
        <v>235</v>
      </c>
      <c r="F221" t="s">
        <v>236</v>
      </c>
      <c r="G221" t="s">
        <v>145</v>
      </c>
    </row>
    <row r="222" spans="1:7" x14ac:dyDescent="0.25">
      <c r="A222" t="s">
        <v>102</v>
      </c>
      <c r="B222" s="16">
        <v>28</v>
      </c>
      <c r="C222" s="16">
        <v>28</v>
      </c>
      <c r="D222" s="16">
        <v>7</v>
      </c>
      <c r="E222" s="16">
        <v>1</v>
      </c>
      <c r="F222" s="16">
        <v>10</v>
      </c>
      <c r="G222" s="16">
        <v>74</v>
      </c>
    </row>
    <row r="223" spans="1:7" x14ac:dyDescent="0.25">
      <c r="A223" t="s">
        <v>141</v>
      </c>
      <c r="B223" s="16">
        <v>0</v>
      </c>
      <c r="C223" s="16">
        <v>0</v>
      </c>
      <c r="D223" s="16">
        <v>71</v>
      </c>
      <c r="E223" s="16">
        <v>0</v>
      </c>
      <c r="F223" s="16">
        <v>4</v>
      </c>
      <c r="G223" s="16">
        <v>75</v>
      </c>
    </row>
    <row r="224" spans="1:7" x14ac:dyDescent="0.25">
      <c r="A224" t="s">
        <v>140</v>
      </c>
      <c r="B224" s="16">
        <v>102</v>
      </c>
      <c r="C224" s="16">
        <v>102</v>
      </c>
      <c r="D224" s="16">
        <v>102</v>
      </c>
      <c r="E224" s="16">
        <v>6</v>
      </c>
      <c r="F224" s="16">
        <v>6</v>
      </c>
      <c r="G224" s="16">
        <v>318</v>
      </c>
    </row>
    <row r="225" spans="1:7" x14ac:dyDescent="0.25">
      <c r="A225" t="s">
        <v>142</v>
      </c>
      <c r="B225" s="16">
        <v>24</v>
      </c>
      <c r="C225" s="16">
        <v>24</v>
      </c>
      <c r="D225" s="16">
        <v>24</v>
      </c>
      <c r="E225" s="16">
        <v>1</v>
      </c>
      <c r="F225" s="16">
        <v>1</v>
      </c>
      <c r="G225" s="16">
        <v>74</v>
      </c>
    </row>
    <row r="226" spans="1:7" x14ac:dyDescent="0.25">
      <c r="A226" t="s">
        <v>143</v>
      </c>
      <c r="B226" s="16">
        <v>83</v>
      </c>
      <c r="C226" s="16">
        <v>83</v>
      </c>
      <c r="D226" s="16">
        <v>32</v>
      </c>
      <c r="E226" s="16">
        <v>102</v>
      </c>
      <c r="F226" s="16">
        <v>19</v>
      </c>
      <c r="G226" s="16">
        <v>319</v>
      </c>
    </row>
    <row r="227" spans="1:7" x14ac:dyDescent="0.25">
      <c r="A227" t="s">
        <v>144</v>
      </c>
      <c r="B227" s="16">
        <v>19</v>
      </c>
      <c r="C227" s="16">
        <v>19</v>
      </c>
      <c r="D227" s="16">
        <v>7</v>
      </c>
      <c r="E227" s="16">
        <v>24</v>
      </c>
      <c r="F227" s="16">
        <v>4</v>
      </c>
      <c r="G227" s="16">
        <v>73</v>
      </c>
    </row>
    <row r="228" spans="1:7" x14ac:dyDescent="0.25">
      <c r="A228" t="s">
        <v>16</v>
      </c>
      <c r="B228" s="19">
        <v>256</v>
      </c>
      <c r="C228" s="19">
        <v>256</v>
      </c>
      <c r="D228" s="19">
        <v>243</v>
      </c>
      <c r="E228" s="19">
        <v>134</v>
      </c>
      <c r="F228" s="19">
        <v>44</v>
      </c>
      <c r="G228" s="16">
        <v>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6BD0-9387-4180-A0C3-A9F5635C32ED}">
  <dimension ref="A1"/>
  <sheetViews>
    <sheetView topLeftCell="A4" workbookViewId="0">
      <selection activeCell="T53" sqref="T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F572-4CE3-4BAE-849D-82F70E851C29}">
  <dimension ref="A1:H251"/>
  <sheetViews>
    <sheetView topLeftCell="A190" workbookViewId="0">
      <selection activeCell="B236" sqref="B236"/>
    </sheetView>
  </sheetViews>
  <sheetFormatPr defaultRowHeight="15" x14ac:dyDescent="0.25"/>
  <cols>
    <col min="1" max="1" width="49.85546875" customWidth="1"/>
    <col min="2" max="2" width="50.7109375" customWidth="1"/>
  </cols>
  <sheetData>
    <row r="1" spans="1:4" x14ac:dyDescent="0.25">
      <c r="A1" t="s">
        <v>166</v>
      </c>
      <c r="B1" t="s">
        <v>172</v>
      </c>
      <c r="C1" t="s">
        <v>179</v>
      </c>
    </row>
    <row r="2" spans="1:4" x14ac:dyDescent="0.25">
      <c r="A2" t="s">
        <v>167</v>
      </c>
      <c r="B2" t="s">
        <v>168</v>
      </c>
      <c r="C2" t="s">
        <v>178</v>
      </c>
    </row>
    <row r="3" spans="1:4" x14ac:dyDescent="0.25">
      <c r="A3" t="s">
        <v>18</v>
      </c>
      <c r="B3" t="s">
        <v>169</v>
      </c>
      <c r="C3" t="s">
        <v>177</v>
      </c>
    </row>
    <row r="4" spans="1:4" x14ac:dyDescent="0.25">
      <c r="A4" t="s">
        <v>170</v>
      </c>
      <c r="B4" t="s">
        <v>32</v>
      </c>
      <c r="C4" t="s">
        <v>176</v>
      </c>
    </row>
    <row r="5" spans="1:4" x14ac:dyDescent="0.25">
      <c r="A5" t="s">
        <v>174</v>
      </c>
      <c r="B5" t="s">
        <v>175</v>
      </c>
      <c r="C5" t="s">
        <v>258</v>
      </c>
    </row>
    <row r="6" spans="1:4" x14ac:dyDescent="0.25">
      <c r="A6" t="s">
        <v>171</v>
      </c>
      <c r="B6">
        <v>3</v>
      </c>
      <c r="C6" t="s">
        <v>275</v>
      </c>
    </row>
    <row r="7" spans="1:4" x14ac:dyDescent="0.25">
      <c r="A7" t="s">
        <v>96</v>
      </c>
      <c r="B7">
        <v>0</v>
      </c>
      <c r="C7" t="s">
        <v>259</v>
      </c>
    </row>
    <row r="8" spans="1:4" x14ac:dyDescent="0.25">
      <c r="A8" t="s">
        <v>97</v>
      </c>
      <c r="B8">
        <v>4407</v>
      </c>
      <c r="C8" t="s">
        <v>173</v>
      </c>
    </row>
    <row r="9" spans="1:4" x14ac:dyDescent="0.25">
      <c r="A9" t="s">
        <v>276</v>
      </c>
      <c r="B9">
        <v>1000</v>
      </c>
      <c r="C9" t="s">
        <v>260</v>
      </c>
    </row>
    <row r="12" spans="1:4" x14ac:dyDescent="0.25">
      <c r="A12" t="s">
        <v>254</v>
      </c>
      <c r="B12" t="s">
        <v>215</v>
      </c>
    </row>
    <row r="13" spans="1:4" x14ac:dyDescent="0.25">
      <c r="A13" t="s">
        <v>214</v>
      </c>
      <c r="B13">
        <v>1</v>
      </c>
      <c r="C13">
        <v>1</v>
      </c>
      <c r="D13">
        <v>1.2</v>
      </c>
    </row>
    <row r="14" spans="1:4" x14ac:dyDescent="0.25">
      <c r="A14" t="s">
        <v>255</v>
      </c>
      <c r="B14">
        <v>0.55000000000000004</v>
      </c>
    </row>
    <row r="18" spans="1:3" x14ac:dyDescent="0.25">
      <c r="A18" t="s">
        <v>17</v>
      </c>
      <c r="B18" t="s">
        <v>34</v>
      </c>
      <c r="C18" t="s">
        <v>205</v>
      </c>
    </row>
    <row r="19" spans="1:3" x14ac:dyDescent="0.25">
      <c r="A19" t="s">
        <v>206</v>
      </c>
      <c r="B19">
        <v>0</v>
      </c>
      <c r="C19" t="s">
        <v>182</v>
      </c>
    </row>
    <row r="20" spans="1:3" x14ac:dyDescent="0.25">
      <c r="A20" t="s">
        <v>164</v>
      </c>
      <c r="B20">
        <v>1</v>
      </c>
      <c r="C20" t="s">
        <v>261</v>
      </c>
    </row>
    <row r="22" spans="1:3" x14ac:dyDescent="0.25">
      <c r="A22" t="s">
        <v>185</v>
      </c>
      <c r="B22">
        <v>380</v>
      </c>
      <c r="C22" t="s">
        <v>191</v>
      </c>
    </row>
    <row r="23" spans="1:3" x14ac:dyDescent="0.25">
      <c r="A23" t="s">
        <v>186</v>
      </c>
      <c r="B23">
        <v>209.00000000000003</v>
      </c>
      <c r="C23" t="s">
        <v>191</v>
      </c>
    </row>
    <row r="25" spans="1:3" x14ac:dyDescent="0.25">
      <c r="A25" t="s">
        <v>189</v>
      </c>
      <c r="B25">
        <v>390</v>
      </c>
      <c r="C25" t="s">
        <v>192</v>
      </c>
    </row>
    <row r="26" spans="1:3" x14ac:dyDescent="0.25">
      <c r="A26" t="s">
        <v>190</v>
      </c>
      <c r="B26">
        <v>214.50000000000003</v>
      </c>
      <c r="C26" t="s">
        <v>192</v>
      </c>
    </row>
    <row r="28" spans="1:3" x14ac:dyDescent="0.25">
      <c r="A28" t="s">
        <v>187</v>
      </c>
      <c r="B28">
        <v>400</v>
      </c>
      <c r="C28" t="s">
        <v>193</v>
      </c>
    </row>
    <row r="29" spans="1:3" x14ac:dyDescent="0.25">
      <c r="A29" t="s">
        <v>188</v>
      </c>
      <c r="B29">
        <v>220.00000000000003</v>
      </c>
      <c r="C29" t="s">
        <v>193</v>
      </c>
    </row>
    <row r="32" spans="1:3" x14ac:dyDescent="0.25">
      <c r="A32" t="s">
        <v>194</v>
      </c>
      <c r="B32">
        <v>945301.50000000012</v>
      </c>
      <c r="C32" t="s">
        <v>180</v>
      </c>
    </row>
    <row r="33" spans="1:3" x14ac:dyDescent="0.25">
      <c r="A33" t="s">
        <v>195</v>
      </c>
      <c r="B33">
        <v>0</v>
      </c>
    </row>
    <row r="34" spans="1:3" x14ac:dyDescent="0.25">
      <c r="A34" t="s">
        <v>196</v>
      </c>
      <c r="B34">
        <v>945301.50000000012</v>
      </c>
    </row>
    <row r="36" spans="1:3" x14ac:dyDescent="0.25">
      <c r="A36" t="s">
        <v>146</v>
      </c>
      <c r="B36">
        <v>0.66</v>
      </c>
      <c r="C36" t="s">
        <v>181</v>
      </c>
    </row>
    <row r="37" spans="1:3" x14ac:dyDescent="0.25">
      <c r="A37" t="s">
        <v>147</v>
      </c>
      <c r="B37">
        <v>0.22</v>
      </c>
      <c r="C37" t="s">
        <v>181</v>
      </c>
    </row>
    <row r="38" spans="1:3" x14ac:dyDescent="0.25">
      <c r="A38" t="s">
        <v>148</v>
      </c>
      <c r="B38">
        <v>0.12</v>
      </c>
      <c r="C38" t="s">
        <v>181</v>
      </c>
    </row>
    <row r="40" spans="1:3" x14ac:dyDescent="0.25">
      <c r="A40" t="s">
        <v>197</v>
      </c>
      <c r="B40">
        <v>623898.99000000011</v>
      </c>
      <c r="C40" t="s">
        <v>204</v>
      </c>
    </row>
    <row r="41" spans="1:3" x14ac:dyDescent="0.25">
      <c r="A41" t="s">
        <v>198</v>
      </c>
      <c r="B41">
        <v>0</v>
      </c>
      <c r="C41" t="s">
        <v>165</v>
      </c>
    </row>
    <row r="42" spans="1:3" x14ac:dyDescent="0.25">
      <c r="A42" t="s">
        <v>199</v>
      </c>
      <c r="B42">
        <v>623898.99000000011</v>
      </c>
      <c r="C42" t="s">
        <v>165</v>
      </c>
    </row>
    <row r="44" spans="1:3" x14ac:dyDescent="0.25">
      <c r="A44" t="s">
        <v>160</v>
      </c>
      <c r="B44">
        <v>207966.33000000002</v>
      </c>
      <c r="C44" t="s">
        <v>204</v>
      </c>
    </row>
    <row r="45" spans="1:3" x14ac:dyDescent="0.25">
      <c r="A45" t="s">
        <v>200</v>
      </c>
      <c r="B45">
        <v>0</v>
      </c>
      <c r="C45" t="s">
        <v>165</v>
      </c>
    </row>
    <row r="46" spans="1:3" x14ac:dyDescent="0.25">
      <c r="A46" t="s">
        <v>201</v>
      </c>
      <c r="B46">
        <v>207966.33000000002</v>
      </c>
      <c r="C46" t="s">
        <v>165</v>
      </c>
    </row>
    <row r="48" spans="1:3" x14ac:dyDescent="0.25">
      <c r="A48" t="s">
        <v>161</v>
      </c>
      <c r="B48">
        <v>113436.18000000001</v>
      </c>
      <c r="C48" t="s">
        <v>204</v>
      </c>
    </row>
    <row r="49" spans="1:3" x14ac:dyDescent="0.25">
      <c r="A49" t="s">
        <v>202</v>
      </c>
      <c r="B49">
        <v>0</v>
      </c>
      <c r="C49" t="s">
        <v>165</v>
      </c>
    </row>
    <row r="50" spans="1:3" x14ac:dyDescent="0.25">
      <c r="A50" t="s">
        <v>203</v>
      </c>
      <c r="B50">
        <v>113436.18000000001</v>
      </c>
      <c r="C50" t="s">
        <v>165</v>
      </c>
    </row>
    <row r="51" spans="1:3" x14ac:dyDescent="0.25">
      <c r="B51" t="s">
        <v>264</v>
      </c>
      <c r="C51" t="s">
        <v>265</v>
      </c>
    </row>
    <row r="52" spans="1:3" x14ac:dyDescent="0.25">
      <c r="A52" t="s">
        <v>149</v>
      </c>
      <c r="B52">
        <v>0.35310000000000002</v>
      </c>
      <c r="C52">
        <v>0.43032000000000004</v>
      </c>
    </row>
    <row r="53" spans="1:3" x14ac:dyDescent="0.25">
      <c r="A53" t="s">
        <v>150</v>
      </c>
      <c r="B53">
        <v>0.22</v>
      </c>
      <c r="C53">
        <v>0.22</v>
      </c>
    </row>
    <row r="54" spans="1:3" x14ac:dyDescent="0.25">
      <c r="A54" t="s">
        <v>151</v>
      </c>
      <c r="B54">
        <v>0.12</v>
      </c>
      <c r="C54">
        <v>0.12</v>
      </c>
    </row>
    <row r="55" spans="1:3" x14ac:dyDescent="0.25">
      <c r="A55" t="s">
        <v>152</v>
      </c>
      <c r="B55">
        <v>0.1716</v>
      </c>
      <c r="C55">
        <v>9.4380000000000006E-2</v>
      </c>
    </row>
    <row r="56" spans="1:3" x14ac:dyDescent="0.25">
      <c r="A56" t="s">
        <v>153</v>
      </c>
      <c r="B56">
        <v>3.3000000000000002E-2</v>
      </c>
      <c r="C56">
        <v>3.3000000000000002E-2</v>
      </c>
    </row>
    <row r="57" spans="1:3" x14ac:dyDescent="0.25">
      <c r="A57" t="s">
        <v>154</v>
      </c>
      <c r="B57">
        <v>3.9600000000000003E-2</v>
      </c>
      <c r="C57">
        <v>3.9600000000000003E-2</v>
      </c>
    </row>
    <row r="58" spans="1:3" x14ac:dyDescent="0.25">
      <c r="A58" t="s">
        <v>155</v>
      </c>
      <c r="B58">
        <v>2.9700000000000001E-2</v>
      </c>
      <c r="C58">
        <v>2.9700000000000001E-2</v>
      </c>
    </row>
    <row r="59" spans="1:3" x14ac:dyDescent="0.25">
      <c r="A59" t="s">
        <v>156</v>
      </c>
      <c r="B59">
        <v>2.3100000000000002E-2</v>
      </c>
      <c r="C59">
        <v>2.3100000000000002E-2</v>
      </c>
    </row>
    <row r="60" spans="1:3" x14ac:dyDescent="0.25">
      <c r="A60" t="s">
        <v>157</v>
      </c>
      <c r="B60">
        <v>9.9000000000000008E-3</v>
      </c>
      <c r="C60">
        <v>9.9000000000000008E-3</v>
      </c>
    </row>
    <row r="62" spans="1:3" x14ac:dyDescent="0.25">
      <c r="A62" t="s">
        <v>89</v>
      </c>
      <c r="B62">
        <v>406782.14148000011</v>
      </c>
      <c r="C62" t="s">
        <v>183</v>
      </c>
    </row>
    <row r="63" spans="1:3" x14ac:dyDescent="0.25">
      <c r="A63" t="s">
        <v>163</v>
      </c>
      <c r="B63">
        <v>0</v>
      </c>
      <c r="C63" t="s">
        <v>209</v>
      </c>
    </row>
    <row r="64" spans="1:3" x14ac:dyDescent="0.25">
      <c r="A64" t="s">
        <v>164</v>
      </c>
      <c r="B64">
        <v>406782.14148000011</v>
      </c>
      <c r="C64" t="s">
        <v>209</v>
      </c>
    </row>
    <row r="66" spans="1:3" x14ac:dyDescent="0.25">
      <c r="A66" t="s">
        <v>158</v>
      </c>
      <c r="B66">
        <v>207966.33000000002</v>
      </c>
      <c r="C66" t="s">
        <v>183</v>
      </c>
    </row>
    <row r="67" spans="1:3" x14ac:dyDescent="0.25">
      <c r="A67" t="s">
        <v>163</v>
      </c>
      <c r="B67">
        <v>0</v>
      </c>
      <c r="C67" t="s">
        <v>209</v>
      </c>
    </row>
    <row r="68" spans="1:3" x14ac:dyDescent="0.25">
      <c r="A68" t="s">
        <v>164</v>
      </c>
      <c r="B68">
        <v>207966.33000000002</v>
      </c>
      <c r="C68" t="s">
        <v>209</v>
      </c>
    </row>
    <row r="70" spans="1:3" x14ac:dyDescent="0.25">
      <c r="A70" t="s">
        <v>159</v>
      </c>
      <c r="B70">
        <v>113436.18000000001</v>
      </c>
      <c r="C70" t="s">
        <v>183</v>
      </c>
    </row>
    <row r="71" spans="1:3" x14ac:dyDescent="0.25">
      <c r="A71" t="s">
        <v>163</v>
      </c>
      <c r="B71">
        <v>0</v>
      </c>
      <c r="C71" t="s">
        <v>209</v>
      </c>
    </row>
    <row r="72" spans="1:3" x14ac:dyDescent="0.25">
      <c r="A72" t="s">
        <v>164</v>
      </c>
      <c r="B72">
        <v>113436.18000000001</v>
      </c>
      <c r="C72" t="s">
        <v>209</v>
      </c>
    </row>
    <row r="74" spans="1:3" x14ac:dyDescent="0.25">
      <c r="A74" t="s">
        <v>90</v>
      </c>
      <c r="B74">
        <v>89217.555570000026</v>
      </c>
      <c r="C74" t="s">
        <v>183</v>
      </c>
    </row>
    <row r="75" spans="1:3" x14ac:dyDescent="0.25">
      <c r="A75" t="s">
        <v>163</v>
      </c>
      <c r="B75">
        <v>0</v>
      </c>
      <c r="C75" t="s">
        <v>209</v>
      </c>
    </row>
    <row r="76" spans="1:3" x14ac:dyDescent="0.25">
      <c r="A76" t="s">
        <v>164</v>
      </c>
      <c r="B76">
        <v>89217.555570000026</v>
      </c>
      <c r="C76" t="s">
        <v>209</v>
      </c>
    </row>
    <row r="78" spans="1:3" x14ac:dyDescent="0.25">
      <c r="A78" t="s">
        <v>91</v>
      </c>
      <c r="B78">
        <v>31194.949500000006</v>
      </c>
      <c r="C78" t="s">
        <v>183</v>
      </c>
    </row>
    <row r="79" spans="1:3" x14ac:dyDescent="0.25">
      <c r="A79" t="s">
        <v>163</v>
      </c>
      <c r="B79">
        <v>0</v>
      </c>
      <c r="C79" t="s">
        <v>209</v>
      </c>
    </row>
    <row r="80" spans="1:3" x14ac:dyDescent="0.25">
      <c r="A80" t="s">
        <v>164</v>
      </c>
      <c r="B80">
        <v>31194.949500000006</v>
      </c>
      <c r="C80" t="s">
        <v>209</v>
      </c>
    </row>
    <row r="82" spans="1:3" x14ac:dyDescent="0.25">
      <c r="A82" t="s">
        <v>92</v>
      </c>
      <c r="B82">
        <v>37433.939400000003</v>
      </c>
      <c r="C82" t="s">
        <v>183</v>
      </c>
    </row>
    <row r="83" spans="1:3" x14ac:dyDescent="0.25">
      <c r="A83" t="s">
        <v>163</v>
      </c>
      <c r="B83">
        <v>0</v>
      </c>
      <c r="C83" t="s">
        <v>209</v>
      </c>
    </row>
    <row r="84" spans="1:3" x14ac:dyDescent="0.25">
      <c r="A84" t="s">
        <v>164</v>
      </c>
      <c r="B84">
        <v>37433.939400000003</v>
      </c>
      <c r="C84" t="s">
        <v>209</v>
      </c>
    </row>
    <row r="86" spans="1:3" x14ac:dyDescent="0.25">
      <c r="A86" t="s">
        <v>93</v>
      </c>
      <c r="B86">
        <v>28075.454550000002</v>
      </c>
      <c r="C86" t="s">
        <v>183</v>
      </c>
    </row>
    <row r="87" spans="1:3" x14ac:dyDescent="0.25">
      <c r="A87" t="s">
        <v>163</v>
      </c>
      <c r="B87">
        <v>0</v>
      </c>
      <c r="C87" t="s">
        <v>209</v>
      </c>
    </row>
    <row r="88" spans="1:3" x14ac:dyDescent="0.25">
      <c r="A88" t="s">
        <v>164</v>
      </c>
      <c r="B88">
        <v>28075.454550000002</v>
      </c>
      <c r="C88" t="s">
        <v>209</v>
      </c>
    </row>
    <row r="90" spans="1:3" x14ac:dyDescent="0.25">
      <c r="A90" t="s">
        <v>94</v>
      </c>
      <c r="B90">
        <v>21836.464650000005</v>
      </c>
      <c r="C90" t="s">
        <v>183</v>
      </c>
    </row>
    <row r="91" spans="1:3" x14ac:dyDescent="0.25">
      <c r="A91" t="s">
        <v>163</v>
      </c>
      <c r="B91">
        <v>0</v>
      </c>
      <c r="C91" t="s">
        <v>209</v>
      </c>
    </row>
    <row r="92" spans="1:3" x14ac:dyDescent="0.25">
      <c r="A92" t="s">
        <v>164</v>
      </c>
      <c r="B92">
        <v>21836.464650000005</v>
      </c>
      <c r="C92" t="s">
        <v>209</v>
      </c>
    </row>
    <row r="94" spans="1:3" x14ac:dyDescent="0.25">
      <c r="A94" t="s">
        <v>162</v>
      </c>
      <c r="B94">
        <v>9358.4848500000007</v>
      </c>
      <c r="C94" t="s">
        <v>183</v>
      </c>
    </row>
    <row r="95" spans="1:3" x14ac:dyDescent="0.25">
      <c r="A95" t="s">
        <v>163</v>
      </c>
      <c r="B95">
        <v>0</v>
      </c>
      <c r="C95" t="s">
        <v>209</v>
      </c>
    </row>
    <row r="96" spans="1:3" x14ac:dyDescent="0.25">
      <c r="A96" t="s">
        <v>164</v>
      </c>
      <c r="B96">
        <v>9358.4848500000007</v>
      </c>
      <c r="C96" t="s">
        <v>209</v>
      </c>
    </row>
    <row r="98" spans="1:8" x14ac:dyDescent="0.25">
      <c r="A98" t="s">
        <v>184</v>
      </c>
      <c r="B98">
        <v>945301.50000000012</v>
      </c>
    </row>
    <row r="99" spans="1:8" x14ac:dyDescent="0.25">
      <c r="A99" t="s">
        <v>163</v>
      </c>
      <c r="B99">
        <v>0</v>
      </c>
      <c r="C99" t="s">
        <v>165</v>
      </c>
    </row>
    <row r="100" spans="1:8" x14ac:dyDescent="0.25">
      <c r="A100" t="s">
        <v>164</v>
      </c>
      <c r="B100">
        <v>945301.50000000012</v>
      </c>
      <c r="C100" t="s">
        <v>165</v>
      </c>
    </row>
    <row r="103" spans="1:8" x14ac:dyDescent="0.25">
      <c r="A103" t="s">
        <v>213</v>
      </c>
      <c r="B103">
        <v>1.3</v>
      </c>
      <c r="C103" t="s">
        <v>208</v>
      </c>
    </row>
    <row r="104" spans="1:8" x14ac:dyDescent="0.25">
      <c r="A104" t="s">
        <v>218</v>
      </c>
      <c r="B104">
        <v>0.15</v>
      </c>
    </row>
    <row r="105" spans="1:8" x14ac:dyDescent="0.25">
      <c r="A105" t="s">
        <v>104</v>
      </c>
      <c r="B105">
        <v>1</v>
      </c>
    </row>
    <row r="109" spans="1:8" x14ac:dyDescent="0.25">
      <c r="A109" t="s">
        <v>216</v>
      </c>
      <c r="B109">
        <v>9358.4848500000007</v>
      </c>
    </row>
    <row r="110" spans="1:8" x14ac:dyDescent="0.25">
      <c r="A110" t="s">
        <v>9</v>
      </c>
      <c r="B110" t="s">
        <v>212</v>
      </c>
      <c r="C110" t="s">
        <v>138</v>
      </c>
      <c r="D110" t="s">
        <v>113</v>
      </c>
      <c r="E110" t="s">
        <v>251</v>
      </c>
      <c r="F110" t="s">
        <v>219</v>
      </c>
      <c r="G110" t="s">
        <v>217</v>
      </c>
      <c r="H110" t="s">
        <v>115</v>
      </c>
    </row>
    <row r="111" spans="1:8" x14ac:dyDescent="0.25">
      <c r="A111" t="s">
        <v>210</v>
      </c>
      <c r="C111">
        <v>1.1701609532775943</v>
      </c>
      <c r="D111">
        <v>5156.8993210943581</v>
      </c>
      <c r="E111">
        <v>5156.8993210943581</v>
      </c>
      <c r="F111">
        <v>31.444508055453404</v>
      </c>
      <c r="G111">
        <v>0</v>
      </c>
      <c r="H111">
        <v>0</v>
      </c>
    </row>
    <row r="112" spans="1:8" x14ac:dyDescent="0.25">
      <c r="A112" t="s">
        <v>211</v>
      </c>
      <c r="C112">
        <v>0.20094963685893646</v>
      </c>
      <c r="D112">
        <v>2161.8965731831818</v>
      </c>
      <c r="E112">
        <v>2161.8965731831818</v>
      </c>
      <c r="F112">
        <v>13.182296177946231</v>
      </c>
      <c r="G112">
        <v>0</v>
      </c>
      <c r="H112">
        <v>0</v>
      </c>
    </row>
    <row r="113" spans="1:8" x14ac:dyDescent="0.25">
      <c r="A113" t="s">
        <v>114</v>
      </c>
      <c r="B113">
        <v>0.17045836662086095</v>
      </c>
      <c r="C113">
        <v>15.733927707559969</v>
      </c>
      <c r="D113">
        <v>69339.419407216788</v>
      </c>
      <c r="E113">
        <v>69339.419407216788</v>
      </c>
      <c r="F113">
        <v>422.80133784888284</v>
      </c>
      <c r="G113">
        <v>0</v>
      </c>
      <c r="H113">
        <v>0</v>
      </c>
    </row>
    <row r="114" spans="1:8" x14ac:dyDescent="0.25">
      <c r="A114" t="s">
        <v>137</v>
      </c>
      <c r="B114">
        <v>0.22754364209327052</v>
      </c>
      <c r="C114">
        <v>10.737784470381436</v>
      </c>
      <c r="D114">
        <v>47321.416160970992</v>
      </c>
      <c r="E114">
        <v>47321.416160970992</v>
      </c>
      <c r="F114">
        <v>288.54522049372554</v>
      </c>
      <c r="G114">
        <v>0</v>
      </c>
      <c r="H114">
        <v>0</v>
      </c>
    </row>
    <row r="115" spans="1:8" x14ac:dyDescent="0.25">
      <c r="A115" t="s">
        <v>10</v>
      </c>
      <c r="B115">
        <v>0.19864926570591837</v>
      </c>
      <c r="C115">
        <v>5.1132320992703395</v>
      </c>
      <c r="D115">
        <v>22534.013861484385</v>
      </c>
      <c r="E115">
        <v>22534.013861484385</v>
      </c>
      <c r="F115">
        <v>137.40252354563648</v>
      </c>
      <c r="G115">
        <v>0</v>
      </c>
      <c r="H115">
        <v>0</v>
      </c>
    </row>
    <row r="116" spans="1:8" x14ac:dyDescent="0.25">
      <c r="A116" t="s">
        <v>12</v>
      </c>
      <c r="B116">
        <v>0.16769068624027533</v>
      </c>
      <c r="C116">
        <v>3.3948157744981176</v>
      </c>
      <c r="D116">
        <v>14960.953118213203</v>
      </c>
      <c r="E116">
        <v>14960.953118213203</v>
      </c>
      <c r="F116">
        <v>91.225323891543923</v>
      </c>
      <c r="G116">
        <v>0</v>
      </c>
      <c r="H116">
        <v>0</v>
      </c>
    </row>
    <row r="117" spans="1:8" x14ac:dyDescent="0.25">
      <c r="A117" t="s">
        <v>11</v>
      </c>
      <c r="B117">
        <v>0.2459777527972454</v>
      </c>
      <c r="C117">
        <v>1.7411535231753019</v>
      </c>
      <c r="D117">
        <v>7673.2635766335552</v>
      </c>
      <c r="E117">
        <v>7673.2635766335552</v>
      </c>
      <c r="F117">
        <v>46.788192540448506</v>
      </c>
      <c r="G117">
        <v>0</v>
      </c>
      <c r="H117">
        <v>0</v>
      </c>
    </row>
    <row r="118" spans="1:8" x14ac:dyDescent="0.25">
      <c r="A118" t="s">
        <v>13</v>
      </c>
      <c r="B118">
        <v>0.22763267083018474</v>
      </c>
      <c r="C118">
        <v>1.9335574325657554</v>
      </c>
      <c r="D118">
        <v>8521.1876053172837</v>
      </c>
      <c r="E118">
        <v>0</v>
      </c>
      <c r="F118">
        <v>0</v>
      </c>
      <c r="G118">
        <v>1278.1781407975925</v>
      </c>
      <c r="H118">
        <v>8521.1876053172837</v>
      </c>
    </row>
    <row r="119" spans="1:8" x14ac:dyDescent="0.25">
      <c r="A119" t="s">
        <v>14</v>
      </c>
      <c r="B119">
        <v>0.25777974438834489</v>
      </c>
      <c r="C119">
        <v>1.6422245285876096</v>
      </c>
      <c r="D119">
        <v>7237.283497485595</v>
      </c>
      <c r="E119">
        <v>0</v>
      </c>
      <c r="F119">
        <v>0</v>
      </c>
      <c r="G119">
        <v>1085.5925246228392</v>
      </c>
      <c r="H119">
        <v>7237.283497485595</v>
      </c>
    </row>
    <row r="120" spans="1:8" x14ac:dyDescent="0.25">
      <c r="A120" t="s">
        <v>15</v>
      </c>
      <c r="B120">
        <v>0.28999587247368197</v>
      </c>
      <c r="C120">
        <v>1.4369150483134707</v>
      </c>
      <c r="D120">
        <v>6332.4846179174656</v>
      </c>
      <c r="E120">
        <v>6332.4846179174656</v>
      </c>
      <c r="F120">
        <v>38.612711084862596</v>
      </c>
      <c r="G120">
        <v>0</v>
      </c>
      <c r="H120">
        <v>0</v>
      </c>
    </row>
    <row r="121" spans="1:8" x14ac:dyDescent="0.25">
      <c r="A121" t="s">
        <v>207</v>
      </c>
      <c r="B121">
        <v>0.45646157170016688</v>
      </c>
      <c r="C121">
        <v>0.96931897058388938</v>
      </c>
      <c r="D121">
        <v>4271.7887033632005</v>
      </c>
      <c r="E121">
        <v>0</v>
      </c>
      <c r="F121">
        <v>0</v>
      </c>
      <c r="G121">
        <v>640.76830550448005</v>
      </c>
      <c r="H121">
        <v>4271.7887033632005</v>
      </c>
    </row>
    <row r="122" spans="1:8" x14ac:dyDescent="0.25">
      <c r="A122" t="s">
        <v>16</v>
      </c>
      <c r="E122">
        <v>175480.34663671395</v>
      </c>
      <c r="F122">
        <v>1070.0021136384996</v>
      </c>
      <c r="G122">
        <v>3004.5389709249116</v>
      </c>
      <c r="H122">
        <v>20030.259806166079</v>
      </c>
    </row>
    <row r="124" spans="1:8" x14ac:dyDescent="0.25">
      <c r="A124" t="s">
        <v>222</v>
      </c>
    </row>
    <row r="125" spans="1:8" x14ac:dyDescent="0.25">
      <c r="A125" t="s">
        <v>224</v>
      </c>
      <c r="B125" t="s">
        <v>220</v>
      </c>
      <c r="C125" t="s">
        <v>221</v>
      </c>
      <c r="D125" t="s">
        <v>99</v>
      </c>
      <c r="E125" t="s">
        <v>100</v>
      </c>
      <c r="F125" t="s">
        <v>101</v>
      </c>
      <c r="G125" t="s">
        <v>105</v>
      </c>
    </row>
    <row r="126" spans="1:8" x14ac:dyDescent="0.25">
      <c r="A126" t="s">
        <v>223</v>
      </c>
      <c r="B126">
        <v>26</v>
      </c>
      <c r="C126">
        <v>26</v>
      </c>
      <c r="D126">
        <v>26</v>
      </c>
      <c r="E126">
        <v>26</v>
      </c>
      <c r="F126">
        <v>26</v>
      </c>
    </row>
    <row r="127" spans="1:8" x14ac:dyDescent="0.25">
      <c r="A127" t="s">
        <v>111</v>
      </c>
      <c r="B127">
        <v>74318.149999999994</v>
      </c>
      <c r="C127">
        <v>74318.149999999994</v>
      </c>
      <c r="D127">
        <v>74318.149999999994</v>
      </c>
      <c r="E127">
        <v>74318.149999999994</v>
      </c>
      <c r="F127">
        <v>74318.149999999994</v>
      </c>
      <c r="G127">
        <v>371590.75</v>
      </c>
    </row>
    <row r="128" spans="1:8" x14ac:dyDescent="0.25">
      <c r="A128" t="s">
        <v>112</v>
      </c>
      <c r="B128">
        <v>80707.136731682025</v>
      </c>
      <c r="C128">
        <v>80707.136731682025</v>
      </c>
      <c r="D128">
        <v>93356.754012697842</v>
      </c>
      <c r="E128">
        <v>93356.754012697842</v>
      </c>
      <c r="F128">
        <v>175579.26633930075</v>
      </c>
      <c r="G128">
        <v>523707.04782806046</v>
      </c>
    </row>
    <row r="129" spans="1:7" x14ac:dyDescent="0.25">
      <c r="A129" t="s">
        <v>112</v>
      </c>
      <c r="B129">
        <v>155025.28673168202</v>
      </c>
      <c r="C129">
        <v>155025.28673168202</v>
      </c>
      <c r="D129">
        <v>167674.90401269784</v>
      </c>
      <c r="E129">
        <v>167674.90401269784</v>
      </c>
      <c r="F129">
        <v>249897.41633930075</v>
      </c>
      <c r="G129">
        <v>895297.79782806046</v>
      </c>
    </row>
    <row r="130" spans="1:7" x14ac:dyDescent="0.25">
      <c r="A130" t="s">
        <v>103</v>
      </c>
    </row>
    <row r="131" spans="1:7" x14ac:dyDescent="0.25">
      <c r="A131" t="s">
        <v>224</v>
      </c>
      <c r="B131" t="s">
        <v>220</v>
      </c>
      <c r="C131" t="s">
        <v>221</v>
      </c>
      <c r="D131" t="s">
        <v>99</v>
      </c>
      <c r="E131" t="s">
        <v>100</v>
      </c>
      <c r="F131" t="s">
        <v>101</v>
      </c>
      <c r="G131" t="s">
        <v>105</v>
      </c>
    </row>
    <row r="132" spans="1:7" x14ac:dyDescent="0.25">
      <c r="A132" t="s">
        <v>107</v>
      </c>
      <c r="B132">
        <v>35.729879807692306</v>
      </c>
      <c r="C132">
        <v>35.729879807692306</v>
      </c>
      <c r="D132">
        <v>35.729879807692306</v>
      </c>
      <c r="E132">
        <v>35.729879807692306</v>
      </c>
      <c r="F132">
        <v>35.729879807692306</v>
      </c>
      <c r="G132">
        <v>35.729879807692306</v>
      </c>
    </row>
    <row r="133" spans="1:7" x14ac:dyDescent="0.25">
      <c r="A133" t="s">
        <v>108</v>
      </c>
      <c r="B133">
        <v>39.407061030430839</v>
      </c>
      <c r="C133">
        <v>39.407061030430839</v>
      </c>
      <c r="D133">
        <v>42.449954110349232</v>
      </c>
      <c r="E133">
        <v>42.449954110349232</v>
      </c>
      <c r="F133">
        <v>66.793098749696412</v>
      </c>
      <c r="G133">
        <v>46.101425806251314</v>
      </c>
    </row>
    <row r="134" spans="1:7" x14ac:dyDescent="0.25">
      <c r="A134" t="s">
        <v>109</v>
      </c>
      <c r="B134">
        <v>75.136940838123138</v>
      </c>
      <c r="C134">
        <v>75.136940838123138</v>
      </c>
      <c r="D134">
        <v>78.179833918041538</v>
      </c>
      <c r="E134">
        <v>78.179833918041538</v>
      </c>
      <c r="F134">
        <v>102.52297855738871</v>
      </c>
      <c r="G134">
        <v>81.831305613943613</v>
      </c>
    </row>
    <row r="135" spans="1:7" x14ac:dyDescent="0.25">
      <c r="A135" t="s">
        <v>110</v>
      </c>
      <c r="B135">
        <v>0.49908706107917911</v>
      </c>
      <c r="C135">
        <v>0.49908706107917911</v>
      </c>
      <c r="D135">
        <v>0.49884721847409269</v>
      </c>
      <c r="E135">
        <v>0.49884721847409269</v>
      </c>
      <c r="F135">
        <v>0.49988790947615264</v>
      </c>
      <c r="G135">
        <v>0.50102862430522188</v>
      </c>
    </row>
    <row r="136" spans="1:7" x14ac:dyDescent="0.25">
      <c r="A136" t="s">
        <v>106</v>
      </c>
      <c r="B136">
        <v>150</v>
      </c>
      <c r="C136">
        <v>150</v>
      </c>
      <c r="D136">
        <v>156</v>
      </c>
      <c r="E136">
        <v>156</v>
      </c>
      <c r="F136">
        <v>205</v>
      </c>
      <c r="G136">
        <v>164</v>
      </c>
    </row>
    <row r="137" spans="1:7" x14ac:dyDescent="0.25">
      <c r="A137" t="s">
        <v>98</v>
      </c>
    </row>
    <row r="139" spans="1:7" x14ac:dyDescent="0.25">
      <c r="A139" t="s">
        <v>237</v>
      </c>
      <c r="B139">
        <v>0.30454538370558248</v>
      </c>
      <c r="C139" t="s">
        <v>239</v>
      </c>
    </row>
    <row r="140" spans="1:7" x14ac:dyDescent="0.25">
      <c r="A140" t="s">
        <v>238</v>
      </c>
      <c r="B140">
        <v>0.27070700773829554</v>
      </c>
      <c r="C140" t="s">
        <v>239</v>
      </c>
    </row>
    <row r="141" spans="1:7" x14ac:dyDescent="0.25">
      <c r="A141" t="s">
        <v>247</v>
      </c>
      <c r="B141">
        <v>0</v>
      </c>
      <c r="C141" t="s">
        <v>239</v>
      </c>
    </row>
    <row r="142" spans="1:7" x14ac:dyDescent="0.25">
      <c r="A142" t="s">
        <v>248</v>
      </c>
      <c r="B142">
        <v>1371.9566505680684</v>
      </c>
      <c r="C142" t="s">
        <v>239</v>
      </c>
    </row>
    <row r="143" spans="1:7" x14ac:dyDescent="0.25">
      <c r="A143" t="s">
        <v>9</v>
      </c>
      <c r="B143" t="s">
        <v>225</v>
      </c>
      <c r="C143" t="s">
        <v>139</v>
      </c>
      <c r="D143" t="s">
        <v>240</v>
      </c>
      <c r="E143" t="s">
        <v>241</v>
      </c>
    </row>
    <row r="144" spans="1:7" x14ac:dyDescent="0.25">
      <c r="A144" t="s">
        <v>210</v>
      </c>
      <c r="B144">
        <v>2.6376570636851802E-2</v>
      </c>
      <c r="C144">
        <v>36.187511504407261</v>
      </c>
      <c r="D144">
        <v>36.187511504407261</v>
      </c>
    </row>
    <row r="145" spans="1:5" x14ac:dyDescent="0.25">
      <c r="A145" t="s">
        <v>211</v>
      </c>
      <c r="B145">
        <v>1.1057694579934706E-2</v>
      </c>
      <c r="C145">
        <v>15.170677618891904</v>
      </c>
      <c r="D145">
        <v>15.170677618891904</v>
      </c>
    </row>
    <row r="146" spans="1:5" x14ac:dyDescent="0.25">
      <c r="A146" t="s">
        <v>114</v>
      </c>
      <c r="B146">
        <v>0.35465809588941583</v>
      </c>
      <c r="C146">
        <v>486.57553333329179</v>
      </c>
      <c r="D146">
        <v>486.57553333329179</v>
      </c>
    </row>
    <row r="147" spans="1:5" x14ac:dyDescent="0.25">
      <c r="A147" t="s">
        <v>137</v>
      </c>
      <c r="B147">
        <v>0.24204014821465103</v>
      </c>
      <c r="C147">
        <v>332.06859104757149</v>
      </c>
      <c r="D147">
        <v>332.06859104757149</v>
      </c>
    </row>
    <row r="148" spans="1:5" x14ac:dyDescent="0.25">
      <c r="A148" t="s">
        <v>10</v>
      </c>
      <c r="B148">
        <v>0.11525724497237379</v>
      </c>
      <c r="C148">
        <v>158.12794376600129</v>
      </c>
      <c r="D148">
        <v>158.12794376600129</v>
      </c>
    </row>
    <row r="149" spans="1:5" x14ac:dyDescent="0.25">
      <c r="A149" t="s">
        <v>12</v>
      </c>
      <c r="B149">
        <v>7.6522462849524048E-2</v>
      </c>
      <c r="C149">
        <v>104.98550182425247</v>
      </c>
      <c r="D149">
        <v>104.98550182425247</v>
      </c>
    </row>
    <row r="150" spans="1:5" x14ac:dyDescent="0.25">
      <c r="A150" t="s">
        <v>11</v>
      </c>
      <c r="B150">
        <v>3.9247300779435515E-2</v>
      </c>
      <c r="C150">
        <v>53.845595321191894</v>
      </c>
      <c r="D150">
        <v>53.845595321191894</v>
      </c>
    </row>
    <row r="151" spans="1:5" x14ac:dyDescent="0.25">
      <c r="A151" t="s">
        <v>13</v>
      </c>
      <c r="B151">
        <v>4.358427279395103E-2</v>
      </c>
      <c r="C151">
        <v>59.795732919834045</v>
      </c>
      <c r="E151">
        <v>59.795732919834045</v>
      </c>
    </row>
    <row r="152" spans="1:5" x14ac:dyDescent="0.25">
      <c r="A152" t="s">
        <v>14</v>
      </c>
      <c r="B152">
        <v>3.7017344629842498E-2</v>
      </c>
      <c r="C152">
        <v>50.786192151282592</v>
      </c>
      <c r="E152">
        <v>50.786192151282592</v>
      </c>
    </row>
    <row r="153" spans="1:5" x14ac:dyDescent="0.25">
      <c r="A153" t="s">
        <v>15</v>
      </c>
      <c r="B153">
        <v>3.2389468444350367E-2</v>
      </c>
      <c r="C153">
        <v>44.436946640591074</v>
      </c>
      <c r="D153">
        <v>44.436946640591074</v>
      </c>
    </row>
    <row r="154" spans="1:5" x14ac:dyDescent="0.25">
      <c r="A154" t="s">
        <v>207</v>
      </c>
      <c r="B154">
        <v>2.1849396209669254E-2</v>
      </c>
      <c r="C154">
        <v>29.976424440752481</v>
      </c>
      <c r="E154">
        <v>29.976424440752481</v>
      </c>
    </row>
    <row r="155" spans="1:5" x14ac:dyDescent="0.25">
      <c r="A155" t="s">
        <v>16</v>
      </c>
      <c r="B155">
        <v>1</v>
      </c>
      <c r="C155">
        <v>1371.9566505680684</v>
      </c>
      <c r="D155">
        <v>1231.3983010561992</v>
      </c>
      <c r="E155">
        <v>140.55834951186912</v>
      </c>
    </row>
    <row r="159" spans="1:5" x14ac:dyDescent="0.25">
      <c r="A159" t="s">
        <v>226</v>
      </c>
    </row>
    <row r="160" spans="1:5" x14ac:dyDescent="0.25">
      <c r="A160" t="s">
        <v>102</v>
      </c>
      <c r="B160">
        <v>0.08</v>
      </c>
      <c r="C160">
        <v>98.51186408449594</v>
      </c>
    </row>
    <row r="161" spans="1:7" x14ac:dyDescent="0.25">
      <c r="A161" t="s">
        <v>141</v>
      </c>
      <c r="B161">
        <v>0.08</v>
      </c>
      <c r="C161">
        <v>98.51186408449594</v>
      </c>
    </row>
    <row r="162" spans="1:7" x14ac:dyDescent="0.25">
      <c r="A162" t="s">
        <v>140</v>
      </c>
      <c r="B162">
        <v>0.34</v>
      </c>
      <c r="C162">
        <v>418.67542235910776</v>
      </c>
    </row>
    <row r="163" spans="1:7" x14ac:dyDescent="0.25">
      <c r="A163" t="s">
        <v>142</v>
      </c>
      <c r="B163">
        <v>0.08</v>
      </c>
      <c r="C163">
        <v>98.51186408449594</v>
      </c>
    </row>
    <row r="164" spans="1:7" x14ac:dyDescent="0.25">
      <c r="A164" t="s">
        <v>143</v>
      </c>
      <c r="B164">
        <v>0.34</v>
      </c>
      <c r="C164">
        <v>418.67542235910776</v>
      </c>
    </row>
    <row r="165" spans="1:7" x14ac:dyDescent="0.25">
      <c r="A165" t="s">
        <v>144</v>
      </c>
      <c r="B165">
        <v>0.08</v>
      </c>
      <c r="C165">
        <v>98.51186408449594</v>
      </c>
    </row>
    <row r="166" spans="1:7" x14ac:dyDescent="0.25">
      <c r="A166" t="s">
        <v>145</v>
      </c>
      <c r="B166">
        <v>0.99999999999999989</v>
      </c>
      <c r="C166">
        <v>1231.3983010561994</v>
      </c>
    </row>
    <row r="170" spans="1:7" x14ac:dyDescent="0.25">
      <c r="A170" t="s">
        <v>242</v>
      </c>
      <c r="B170" t="s">
        <v>227</v>
      </c>
      <c r="C170" t="s">
        <v>228</v>
      </c>
      <c r="D170" t="s">
        <v>229</v>
      </c>
      <c r="E170" t="s">
        <v>230</v>
      </c>
      <c r="F170" t="s">
        <v>231</v>
      </c>
      <c r="G170" t="s">
        <v>244</v>
      </c>
    </row>
    <row r="171" spans="1:7" x14ac:dyDescent="0.25">
      <c r="A171" t="s">
        <v>102</v>
      </c>
      <c r="B171">
        <v>0.37</v>
      </c>
      <c r="C171">
        <v>0.37</v>
      </c>
      <c r="D171">
        <v>0.1</v>
      </c>
      <c r="E171">
        <v>0.02</v>
      </c>
      <c r="F171">
        <v>0.14000000000000001</v>
      </c>
      <c r="G171">
        <v>1</v>
      </c>
    </row>
    <row r="172" spans="1:7" x14ac:dyDescent="0.25">
      <c r="A172" t="s">
        <v>141</v>
      </c>
      <c r="B172">
        <v>0</v>
      </c>
      <c r="C172">
        <v>0</v>
      </c>
      <c r="D172">
        <v>0.95</v>
      </c>
      <c r="E172">
        <v>0</v>
      </c>
      <c r="F172">
        <v>0.05</v>
      </c>
      <c r="G172">
        <v>1</v>
      </c>
    </row>
    <row r="173" spans="1:7" x14ac:dyDescent="0.25">
      <c r="A173" t="s">
        <v>140</v>
      </c>
      <c r="B173">
        <v>0.32</v>
      </c>
      <c r="C173">
        <v>0.32</v>
      </c>
      <c r="D173">
        <v>0.32</v>
      </c>
      <c r="E173">
        <v>0.02</v>
      </c>
      <c r="F173">
        <v>0.02</v>
      </c>
      <c r="G173">
        <v>1</v>
      </c>
    </row>
    <row r="174" spans="1:7" x14ac:dyDescent="0.25">
      <c r="A174" t="s">
        <v>142</v>
      </c>
      <c r="B174">
        <v>0.32</v>
      </c>
      <c r="C174">
        <v>0.32</v>
      </c>
      <c r="D174">
        <v>0.32</v>
      </c>
      <c r="E174">
        <v>0.02</v>
      </c>
      <c r="F174">
        <v>0.02</v>
      </c>
      <c r="G174">
        <v>1</v>
      </c>
    </row>
    <row r="175" spans="1:7" x14ac:dyDescent="0.25">
      <c r="A175" t="s">
        <v>143</v>
      </c>
      <c r="B175">
        <v>0.26</v>
      </c>
      <c r="C175">
        <v>0.26</v>
      </c>
      <c r="D175">
        <v>0.1</v>
      </c>
      <c r="E175">
        <v>0.32</v>
      </c>
      <c r="F175">
        <v>0.06</v>
      </c>
      <c r="G175">
        <v>1</v>
      </c>
    </row>
    <row r="176" spans="1:7" x14ac:dyDescent="0.25">
      <c r="A176" t="s">
        <v>144</v>
      </c>
      <c r="B176">
        <v>0.26</v>
      </c>
      <c r="C176">
        <v>0.26</v>
      </c>
      <c r="D176">
        <v>0.1</v>
      </c>
      <c r="E176">
        <v>0.32</v>
      </c>
      <c r="F176">
        <v>0.06</v>
      </c>
      <c r="G176">
        <v>1</v>
      </c>
    </row>
    <row r="177" spans="1:7" x14ac:dyDescent="0.25">
      <c r="A177" t="s">
        <v>245</v>
      </c>
      <c r="B177">
        <v>0.27320000000000005</v>
      </c>
      <c r="C177">
        <v>0.27320000000000005</v>
      </c>
      <c r="D177">
        <v>0.26040000000000002</v>
      </c>
      <c r="E177">
        <v>0.14440000000000003</v>
      </c>
      <c r="F177">
        <v>4.8800000000000003E-2</v>
      </c>
      <c r="G177">
        <v>1.0000000000000002</v>
      </c>
    </row>
    <row r="178" spans="1:7" x14ac:dyDescent="0.25">
      <c r="A178" t="s">
        <v>243</v>
      </c>
      <c r="B178" t="s">
        <v>232</v>
      </c>
      <c r="C178" t="s">
        <v>233</v>
      </c>
      <c r="D178" t="s">
        <v>234</v>
      </c>
      <c r="E178" t="s">
        <v>235</v>
      </c>
      <c r="F178" t="s">
        <v>236</v>
      </c>
      <c r="G178" t="s">
        <v>145</v>
      </c>
    </row>
    <row r="179" spans="1:7" x14ac:dyDescent="0.25">
      <c r="A179" t="s">
        <v>102</v>
      </c>
      <c r="B179">
        <v>36</v>
      </c>
      <c r="C179">
        <v>36</v>
      </c>
      <c r="D179">
        <v>10</v>
      </c>
      <c r="E179">
        <v>2</v>
      </c>
      <c r="F179">
        <v>14</v>
      </c>
      <c r="G179">
        <v>98</v>
      </c>
    </row>
    <row r="180" spans="1:7" x14ac:dyDescent="0.25">
      <c r="A180" t="s">
        <v>141</v>
      </c>
      <c r="B180">
        <v>0</v>
      </c>
      <c r="C180">
        <v>0</v>
      </c>
      <c r="D180">
        <v>94</v>
      </c>
      <c r="E180">
        <v>0</v>
      </c>
      <c r="F180">
        <v>5</v>
      </c>
      <c r="G180">
        <v>99</v>
      </c>
    </row>
    <row r="181" spans="1:7" x14ac:dyDescent="0.25">
      <c r="A181" t="s">
        <v>140</v>
      </c>
      <c r="B181">
        <v>134</v>
      </c>
      <c r="C181">
        <v>134</v>
      </c>
      <c r="D181">
        <v>134</v>
      </c>
      <c r="E181">
        <v>8</v>
      </c>
      <c r="F181">
        <v>8</v>
      </c>
      <c r="G181">
        <v>418</v>
      </c>
    </row>
    <row r="182" spans="1:7" x14ac:dyDescent="0.25">
      <c r="A182" t="s">
        <v>142</v>
      </c>
      <c r="B182">
        <v>32</v>
      </c>
      <c r="C182">
        <v>32</v>
      </c>
      <c r="D182">
        <v>32</v>
      </c>
      <c r="E182">
        <v>2</v>
      </c>
      <c r="F182">
        <v>2</v>
      </c>
      <c r="G182">
        <v>100</v>
      </c>
    </row>
    <row r="183" spans="1:7" x14ac:dyDescent="0.25">
      <c r="A183" t="s">
        <v>143</v>
      </c>
      <c r="B183">
        <v>109</v>
      </c>
      <c r="C183">
        <v>109</v>
      </c>
      <c r="D183">
        <v>42</v>
      </c>
      <c r="E183">
        <v>134</v>
      </c>
      <c r="F183">
        <v>25</v>
      </c>
      <c r="G183">
        <v>419</v>
      </c>
    </row>
    <row r="184" spans="1:7" x14ac:dyDescent="0.25">
      <c r="A184" t="s">
        <v>144</v>
      </c>
      <c r="B184">
        <v>26</v>
      </c>
      <c r="C184">
        <v>26</v>
      </c>
      <c r="D184">
        <v>10</v>
      </c>
      <c r="E184">
        <v>32</v>
      </c>
      <c r="F184">
        <v>6</v>
      </c>
      <c r="G184">
        <v>100</v>
      </c>
    </row>
    <row r="185" spans="1:7" x14ac:dyDescent="0.25">
      <c r="A185" t="s">
        <v>16</v>
      </c>
      <c r="B185">
        <v>337</v>
      </c>
      <c r="C185">
        <v>337</v>
      </c>
      <c r="D185">
        <v>322</v>
      </c>
      <c r="E185">
        <v>178</v>
      </c>
      <c r="F185">
        <v>60</v>
      </c>
      <c r="G185">
        <v>1234</v>
      </c>
    </row>
    <row r="186" spans="1:7" x14ac:dyDescent="0.25">
      <c r="A186" t="s">
        <v>246</v>
      </c>
      <c r="B186" t="s">
        <v>232</v>
      </c>
      <c r="C186" t="s">
        <v>233</v>
      </c>
      <c r="D186" t="s">
        <v>234</v>
      </c>
      <c r="E186" t="s">
        <v>235</v>
      </c>
      <c r="F186" t="s">
        <v>236</v>
      </c>
      <c r="G186" t="s">
        <v>145</v>
      </c>
    </row>
    <row r="187" spans="1:7" x14ac:dyDescent="0.25">
      <c r="A187" t="s">
        <v>102</v>
      </c>
      <c r="B187">
        <v>4590</v>
      </c>
      <c r="C187">
        <v>4590</v>
      </c>
      <c r="D187">
        <v>1326</v>
      </c>
      <c r="E187">
        <v>265.2</v>
      </c>
      <c r="F187">
        <v>2439.5</v>
      </c>
      <c r="G187">
        <v>13210.7</v>
      </c>
    </row>
    <row r="188" spans="1:7" x14ac:dyDescent="0.25">
      <c r="A188" t="s">
        <v>141</v>
      </c>
      <c r="B188">
        <v>0</v>
      </c>
      <c r="C188">
        <v>0</v>
      </c>
      <c r="D188">
        <v>12464.4</v>
      </c>
      <c r="E188">
        <v>0</v>
      </c>
      <c r="F188">
        <v>871.25</v>
      </c>
      <c r="G188">
        <v>13335.65</v>
      </c>
    </row>
    <row r="189" spans="1:7" x14ac:dyDescent="0.25">
      <c r="A189" t="s">
        <v>140</v>
      </c>
      <c r="B189">
        <v>17085</v>
      </c>
      <c r="C189">
        <v>17085</v>
      </c>
      <c r="D189">
        <v>17768.399999999998</v>
      </c>
      <c r="E189">
        <v>1060.8</v>
      </c>
      <c r="F189">
        <v>1394</v>
      </c>
      <c r="G189">
        <v>54393.2</v>
      </c>
    </row>
    <row r="190" spans="1:7" x14ac:dyDescent="0.25">
      <c r="A190" t="s">
        <v>142</v>
      </c>
      <c r="B190">
        <v>4080</v>
      </c>
      <c r="C190">
        <v>4080</v>
      </c>
      <c r="D190">
        <v>4243.2</v>
      </c>
      <c r="E190">
        <v>265.2</v>
      </c>
      <c r="F190">
        <v>348.5</v>
      </c>
      <c r="G190">
        <v>13016.900000000001</v>
      </c>
    </row>
    <row r="191" spans="1:7" x14ac:dyDescent="0.25">
      <c r="A191" t="s">
        <v>143</v>
      </c>
      <c r="B191">
        <v>13897.5</v>
      </c>
      <c r="C191">
        <v>13897.5</v>
      </c>
      <c r="D191">
        <v>5569.2</v>
      </c>
      <c r="E191">
        <v>17768.399999999998</v>
      </c>
      <c r="F191">
        <v>4356.25</v>
      </c>
      <c r="G191">
        <v>55488.849999999991</v>
      </c>
    </row>
    <row r="192" spans="1:7" x14ac:dyDescent="0.25">
      <c r="A192" t="s">
        <v>144</v>
      </c>
      <c r="B192">
        <v>3315</v>
      </c>
      <c r="C192">
        <v>3315</v>
      </c>
      <c r="D192">
        <v>1326</v>
      </c>
      <c r="E192">
        <v>4243.2</v>
      </c>
      <c r="F192">
        <v>1045.5</v>
      </c>
      <c r="G192">
        <v>13244.7</v>
      </c>
    </row>
    <row r="193" spans="1:7" x14ac:dyDescent="0.25">
      <c r="A193" t="s">
        <v>16</v>
      </c>
      <c r="B193">
        <v>42967.5</v>
      </c>
      <c r="C193">
        <v>42967.5</v>
      </c>
      <c r="D193">
        <v>42697.19999999999</v>
      </c>
      <c r="E193">
        <v>23602.799999999999</v>
      </c>
      <c r="F193">
        <v>10455</v>
      </c>
      <c r="G193">
        <v>162690</v>
      </c>
    </row>
    <row r="197" spans="1:7" x14ac:dyDescent="0.25">
      <c r="A197" t="s">
        <v>249</v>
      </c>
      <c r="B197" t="s">
        <v>256</v>
      </c>
      <c r="C197" t="s">
        <v>252</v>
      </c>
      <c r="D197" t="s">
        <v>253</v>
      </c>
      <c r="E197" t="s">
        <v>113</v>
      </c>
      <c r="F197" t="s">
        <v>262</v>
      </c>
      <c r="G197" t="s">
        <v>263</v>
      </c>
    </row>
    <row r="198" spans="1:7" x14ac:dyDescent="0.25">
      <c r="A198" t="s">
        <v>250</v>
      </c>
      <c r="B198">
        <v>0.18563426233504751</v>
      </c>
      <c r="C198">
        <v>39.818549270867699</v>
      </c>
      <c r="D198">
        <v>1070.0021136384996</v>
      </c>
      <c r="E198">
        <v>175480.34663671395</v>
      </c>
      <c r="F198">
        <v>-9.0720434900003477E-2</v>
      </c>
      <c r="G198">
        <v>-15919.653363286052</v>
      </c>
    </row>
    <row r="199" spans="1:7" x14ac:dyDescent="0.25">
      <c r="A199" t="s">
        <v>257</v>
      </c>
      <c r="B199">
        <v>0.20247508334642436</v>
      </c>
      <c r="C199">
        <v>35.39855742555946</v>
      </c>
      <c r="D199">
        <v>1234</v>
      </c>
      <c r="E199">
        <v>191400</v>
      </c>
      <c r="F199">
        <v>8.3174782462309568E-2</v>
      </c>
      <c r="G199">
        <v>15919.653363286052</v>
      </c>
    </row>
    <row r="202" spans="1:7" x14ac:dyDescent="0.25">
      <c r="A202" t="s">
        <v>266</v>
      </c>
      <c r="E202">
        <v>191400</v>
      </c>
    </row>
    <row r="203" spans="1:7" x14ac:dyDescent="0.25">
      <c r="A203" t="s">
        <v>270</v>
      </c>
      <c r="E203">
        <v>-7959.8266816430259</v>
      </c>
    </row>
    <row r="204" spans="1:7" x14ac:dyDescent="0.25">
      <c r="A204" t="s">
        <v>267</v>
      </c>
      <c r="B204">
        <v>0.19405467284073594</v>
      </c>
      <c r="D204">
        <v>1167.0731707317073</v>
      </c>
      <c r="E204">
        <v>183440.17331835697</v>
      </c>
    </row>
    <row r="205" spans="1:7" x14ac:dyDescent="0.25">
      <c r="A205" t="s">
        <v>268</v>
      </c>
      <c r="E205">
        <v>4.1587391231154736E-2</v>
      </c>
    </row>
    <row r="206" spans="1:7" x14ac:dyDescent="0.25">
      <c r="A206" t="s">
        <v>271</v>
      </c>
      <c r="E206">
        <v>0.15</v>
      </c>
    </row>
    <row r="207" spans="1:7" x14ac:dyDescent="0.25">
      <c r="A207" t="s">
        <v>272</v>
      </c>
      <c r="E207">
        <v>-0.15</v>
      </c>
    </row>
    <row r="208" spans="1:7" x14ac:dyDescent="0.25">
      <c r="A208" t="s">
        <v>266</v>
      </c>
      <c r="E208">
        <v>191400</v>
      </c>
    </row>
    <row r="209" spans="1:7" x14ac:dyDescent="0.25">
      <c r="A209" t="s">
        <v>268</v>
      </c>
      <c r="E209">
        <v>-28710</v>
      </c>
    </row>
    <row r="210" spans="1:7" x14ac:dyDescent="0.25">
      <c r="A210" t="s">
        <v>269</v>
      </c>
      <c r="B210">
        <v>0.17210382084446071</v>
      </c>
      <c r="C210">
        <v>30.088773811725542</v>
      </c>
      <c r="D210">
        <v>992.01219512195121</v>
      </c>
      <c r="E210">
        <v>162690</v>
      </c>
    </row>
    <row r="212" spans="1:7" x14ac:dyDescent="0.25">
      <c r="A212" t="s">
        <v>273</v>
      </c>
    </row>
    <row r="213" spans="1:7" x14ac:dyDescent="0.25">
      <c r="A213" t="s">
        <v>102</v>
      </c>
      <c r="B213">
        <v>0.08</v>
      </c>
      <c r="C213">
        <v>79.360975609756096</v>
      </c>
    </row>
    <row r="214" spans="1:7" x14ac:dyDescent="0.25">
      <c r="A214" t="s">
        <v>141</v>
      </c>
      <c r="B214">
        <v>0.08</v>
      </c>
      <c r="C214">
        <v>79.360975609756096</v>
      </c>
    </row>
    <row r="215" spans="1:7" x14ac:dyDescent="0.25">
      <c r="A215" t="s">
        <v>140</v>
      </c>
      <c r="B215">
        <v>0.34</v>
      </c>
      <c r="C215">
        <v>337.28414634146344</v>
      </c>
    </row>
    <row r="216" spans="1:7" x14ac:dyDescent="0.25">
      <c r="A216" t="s">
        <v>142</v>
      </c>
      <c r="B216">
        <v>0.08</v>
      </c>
      <c r="C216">
        <v>79.360975609756096</v>
      </c>
    </row>
    <row r="217" spans="1:7" x14ac:dyDescent="0.25">
      <c r="A217" t="s">
        <v>143</v>
      </c>
      <c r="B217">
        <v>0.34</v>
      </c>
      <c r="C217">
        <v>337.28414634146344</v>
      </c>
    </row>
    <row r="218" spans="1:7" x14ac:dyDescent="0.25">
      <c r="A218" t="s">
        <v>144</v>
      </c>
      <c r="B218">
        <v>0.08</v>
      </c>
      <c r="C218">
        <v>79.360975609756096</v>
      </c>
    </row>
    <row r="219" spans="1:7" x14ac:dyDescent="0.25">
      <c r="A219" t="s">
        <v>145</v>
      </c>
      <c r="B219">
        <v>0.99999999999999989</v>
      </c>
      <c r="C219">
        <v>992.01219512195132</v>
      </c>
    </row>
    <row r="221" spans="1:7" x14ac:dyDescent="0.25">
      <c r="A221" t="s">
        <v>274</v>
      </c>
      <c r="B221" t="s">
        <v>232</v>
      </c>
      <c r="C221" t="s">
        <v>233</v>
      </c>
      <c r="D221" t="s">
        <v>234</v>
      </c>
      <c r="E221" t="s">
        <v>235</v>
      </c>
      <c r="F221" t="s">
        <v>236</v>
      </c>
      <c r="G221" t="s">
        <v>145</v>
      </c>
    </row>
    <row r="222" spans="1:7" x14ac:dyDescent="0.25">
      <c r="A222" t="s">
        <v>102</v>
      </c>
      <c r="B222">
        <v>29</v>
      </c>
      <c r="C222">
        <v>29</v>
      </c>
      <c r="D222">
        <v>8</v>
      </c>
      <c r="E222">
        <v>2</v>
      </c>
      <c r="F222">
        <v>11</v>
      </c>
      <c r="G222">
        <v>79</v>
      </c>
    </row>
    <row r="223" spans="1:7" x14ac:dyDescent="0.25">
      <c r="A223" t="s">
        <v>141</v>
      </c>
      <c r="B223">
        <v>0</v>
      </c>
      <c r="C223">
        <v>0</v>
      </c>
      <c r="D223">
        <v>75</v>
      </c>
      <c r="E223">
        <v>0</v>
      </c>
      <c r="F223">
        <v>4</v>
      </c>
      <c r="G223">
        <v>79</v>
      </c>
    </row>
    <row r="224" spans="1:7" x14ac:dyDescent="0.25">
      <c r="A224" t="s">
        <v>140</v>
      </c>
      <c r="B224">
        <v>108</v>
      </c>
      <c r="C224">
        <v>108</v>
      </c>
      <c r="D224">
        <v>108</v>
      </c>
      <c r="E224">
        <v>7</v>
      </c>
      <c r="F224">
        <v>7</v>
      </c>
      <c r="G224">
        <v>338</v>
      </c>
    </row>
    <row r="225" spans="1:7" x14ac:dyDescent="0.25">
      <c r="A225" t="s">
        <v>142</v>
      </c>
      <c r="B225">
        <v>25</v>
      </c>
      <c r="C225">
        <v>25</v>
      </c>
      <c r="D225">
        <v>25</v>
      </c>
      <c r="E225">
        <v>2</v>
      </c>
      <c r="F225">
        <v>2</v>
      </c>
      <c r="G225">
        <v>79</v>
      </c>
    </row>
    <row r="226" spans="1:7" x14ac:dyDescent="0.25">
      <c r="A226" t="s">
        <v>143</v>
      </c>
      <c r="B226">
        <v>88</v>
      </c>
      <c r="C226">
        <v>88</v>
      </c>
      <c r="D226">
        <v>34</v>
      </c>
      <c r="E226">
        <v>108</v>
      </c>
      <c r="F226">
        <v>20</v>
      </c>
      <c r="G226">
        <v>338</v>
      </c>
    </row>
    <row r="227" spans="1:7" x14ac:dyDescent="0.25">
      <c r="A227" t="s">
        <v>144</v>
      </c>
      <c r="B227">
        <v>21</v>
      </c>
      <c r="C227">
        <v>21</v>
      </c>
      <c r="D227">
        <v>8</v>
      </c>
      <c r="E227">
        <v>25</v>
      </c>
      <c r="F227">
        <v>5</v>
      </c>
      <c r="G227">
        <v>80</v>
      </c>
    </row>
    <row r="228" spans="1:7" x14ac:dyDescent="0.25">
      <c r="A228" t="s">
        <v>16</v>
      </c>
      <c r="B228">
        <v>271</v>
      </c>
      <c r="C228">
        <v>271</v>
      </c>
      <c r="D228">
        <v>258</v>
      </c>
      <c r="E228">
        <v>144</v>
      </c>
      <c r="F228">
        <v>49</v>
      </c>
      <c r="G228">
        <v>993</v>
      </c>
    </row>
    <row r="232" spans="1:7" x14ac:dyDescent="0.25">
      <c r="A232" t="s">
        <v>284</v>
      </c>
      <c r="B232">
        <v>187099.12287105527</v>
      </c>
    </row>
    <row r="234" spans="1:7" x14ac:dyDescent="0.25">
      <c r="A234" t="s">
        <v>288</v>
      </c>
      <c r="B234">
        <v>183658</v>
      </c>
    </row>
    <row r="235" spans="1:7" x14ac:dyDescent="0.25">
      <c r="A235" t="s">
        <v>285</v>
      </c>
      <c r="B235">
        <v>137743.5</v>
      </c>
    </row>
    <row r="236" spans="1:7" x14ac:dyDescent="0.25">
      <c r="A236" t="s">
        <v>289</v>
      </c>
      <c r="B236">
        <v>-45914.5</v>
      </c>
    </row>
    <row r="238" spans="1:7" x14ac:dyDescent="0.25">
      <c r="A238" t="s">
        <v>287</v>
      </c>
    </row>
    <row r="239" spans="1:7" x14ac:dyDescent="0.25">
      <c r="A239" t="s">
        <v>281</v>
      </c>
      <c r="B239">
        <v>5343.5768622899914</v>
      </c>
    </row>
    <row r="240" spans="1:7" x14ac:dyDescent="0.25">
      <c r="A240" t="s">
        <v>282</v>
      </c>
      <c r="B240">
        <v>49433.930012967037</v>
      </c>
    </row>
    <row r="241" spans="1:2" x14ac:dyDescent="0.25">
      <c r="A241" t="s">
        <v>137</v>
      </c>
      <c r="B241">
        <v>33607.086212573297</v>
      </c>
    </row>
    <row r="242" spans="1:2" x14ac:dyDescent="0.25">
      <c r="A242" t="s">
        <v>10</v>
      </c>
      <c r="B242">
        <v>15893.783597115746</v>
      </c>
    </row>
    <row r="243" spans="1:2" x14ac:dyDescent="0.25">
      <c r="A243" t="s">
        <v>12</v>
      </c>
      <c r="B243">
        <v>9647.5135067248466</v>
      </c>
    </row>
    <row r="244" spans="1:2" x14ac:dyDescent="0.25">
      <c r="A244" t="s">
        <v>11</v>
      </c>
      <c r="B244">
        <v>5357.5983596014757</v>
      </c>
    </row>
    <row r="245" spans="1:2" x14ac:dyDescent="0.25">
      <c r="A245" t="s">
        <v>15</v>
      </c>
      <c r="B245">
        <v>4441.2651725592641</v>
      </c>
    </row>
    <row r="247" spans="1:2" x14ac:dyDescent="0.25">
      <c r="A247" t="s">
        <v>286</v>
      </c>
    </row>
    <row r="248" spans="1:2" x14ac:dyDescent="0.25">
      <c r="A248" t="s">
        <v>281</v>
      </c>
      <c r="B248">
        <v>5343.5768622899914</v>
      </c>
    </row>
    <row r="249" spans="1:2" x14ac:dyDescent="0.25">
      <c r="A249" t="s">
        <v>278</v>
      </c>
      <c r="B249">
        <v>82899.053328020935</v>
      </c>
    </row>
    <row r="250" spans="1:2" x14ac:dyDescent="0.25">
      <c r="A250" t="s">
        <v>279</v>
      </c>
      <c r="B250">
        <v>33607.086212573297</v>
      </c>
    </row>
    <row r="251" spans="1:2" x14ac:dyDescent="0.25">
      <c r="A251" t="s">
        <v>280</v>
      </c>
      <c r="B251">
        <v>15893.783597115746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33E8-DFAC-440A-98A4-CF06C1ADAF3A}">
  <dimension ref="A1:H261"/>
  <sheetViews>
    <sheetView topLeftCell="A55" workbookViewId="0">
      <selection activeCell="Q67" sqref="Q67"/>
    </sheetView>
  </sheetViews>
  <sheetFormatPr defaultRowHeight="15" x14ac:dyDescent="0.25"/>
  <sheetData>
    <row r="1" spans="1:4" x14ac:dyDescent="0.25">
      <c r="A1" t="s">
        <v>166</v>
      </c>
      <c r="B1" t="s">
        <v>172</v>
      </c>
      <c r="C1" t="s">
        <v>179</v>
      </c>
    </row>
    <row r="2" spans="1:4" x14ac:dyDescent="0.25">
      <c r="A2" t="s">
        <v>167</v>
      </c>
      <c r="B2" t="s">
        <v>168</v>
      </c>
      <c r="C2" t="s">
        <v>178</v>
      </c>
    </row>
    <row r="3" spans="1:4" x14ac:dyDescent="0.25">
      <c r="A3" t="s">
        <v>18</v>
      </c>
      <c r="B3" t="s">
        <v>169</v>
      </c>
      <c r="C3" t="s">
        <v>177</v>
      </c>
    </row>
    <row r="4" spans="1:4" x14ac:dyDescent="0.25">
      <c r="A4" t="s">
        <v>170</v>
      </c>
      <c r="B4" t="s">
        <v>32</v>
      </c>
      <c r="C4" t="s">
        <v>176</v>
      </c>
    </row>
    <row r="5" spans="1:4" x14ac:dyDescent="0.25">
      <c r="A5" t="s">
        <v>174</v>
      </c>
      <c r="B5" t="s">
        <v>175</v>
      </c>
      <c r="C5" t="s">
        <v>258</v>
      </c>
    </row>
    <row r="6" spans="1:4" x14ac:dyDescent="0.25">
      <c r="A6" t="s">
        <v>171</v>
      </c>
      <c r="B6">
        <v>3</v>
      </c>
      <c r="C6" t="s">
        <v>275</v>
      </c>
    </row>
    <row r="7" spans="1:4" x14ac:dyDescent="0.25">
      <c r="A7" t="s">
        <v>96</v>
      </c>
      <c r="B7">
        <v>0</v>
      </c>
      <c r="C7" t="s">
        <v>259</v>
      </c>
    </row>
    <row r="8" spans="1:4" x14ac:dyDescent="0.25">
      <c r="A8" t="s">
        <v>97</v>
      </c>
      <c r="B8">
        <v>4407</v>
      </c>
      <c r="C8" t="s">
        <v>173</v>
      </c>
    </row>
    <row r="9" spans="1:4" x14ac:dyDescent="0.25">
      <c r="A9" t="s">
        <v>276</v>
      </c>
      <c r="B9">
        <v>972</v>
      </c>
      <c r="C9" t="s">
        <v>260</v>
      </c>
    </row>
    <row r="12" spans="1:4" x14ac:dyDescent="0.25">
      <c r="A12" t="s">
        <v>254</v>
      </c>
      <c r="B12" t="s">
        <v>215</v>
      </c>
    </row>
    <row r="13" spans="1:4" x14ac:dyDescent="0.25">
      <c r="A13" t="s">
        <v>214</v>
      </c>
      <c r="B13">
        <v>1</v>
      </c>
      <c r="C13">
        <v>1</v>
      </c>
      <c r="D13">
        <v>1.2</v>
      </c>
    </row>
    <row r="14" spans="1:4" x14ac:dyDescent="0.25">
      <c r="A14" t="s">
        <v>255</v>
      </c>
      <c r="B14">
        <v>0.5</v>
      </c>
    </row>
    <row r="18" spans="1:3" x14ac:dyDescent="0.25">
      <c r="A18" t="s">
        <v>17</v>
      </c>
      <c r="B18" t="s">
        <v>34</v>
      </c>
      <c r="C18" t="s">
        <v>205</v>
      </c>
    </row>
    <row r="19" spans="1:3" x14ac:dyDescent="0.25">
      <c r="A19" t="s">
        <v>206</v>
      </c>
      <c r="B19">
        <v>0</v>
      </c>
      <c r="C19" t="s">
        <v>182</v>
      </c>
    </row>
    <row r="20" spans="1:3" x14ac:dyDescent="0.25">
      <c r="A20" t="s">
        <v>164</v>
      </c>
      <c r="B20">
        <v>1</v>
      </c>
      <c r="C20" t="s">
        <v>261</v>
      </c>
    </row>
    <row r="22" spans="1:3" x14ac:dyDescent="0.25">
      <c r="A22" t="s">
        <v>185</v>
      </c>
      <c r="B22">
        <v>380</v>
      </c>
      <c r="C22" t="s">
        <v>191</v>
      </c>
    </row>
    <row r="23" spans="1:3" x14ac:dyDescent="0.25">
      <c r="A23" t="s">
        <v>186</v>
      </c>
      <c r="B23">
        <v>190</v>
      </c>
      <c r="C23" t="s">
        <v>191</v>
      </c>
    </row>
    <row r="25" spans="1:3" x14ac:dyDescent="0.25">
      <c r="A25" t="s">
        <v>189</v>
      </c>
      <c r="B25">
        <v>390</v>
      </c>
      <c r="C25" t="s">
        <v>192</v>
      </c>
    </row>
    <row r="26" spans="1:3" x14ac:dyDescent="0.25">
      <c r="A26" t="s">
        <v>190</v>
      </c>
      <c r="B26">
        <v>195</v>
      </c>
      <c r="C26" t="s">
        <v>192</v>
      </c>
    </row>
    <row r="28" spans="1:3" x14ac:dyDescent="0.25">
      <c r="A28" t="s">
        <v>187</v>
      </c>
      <c r="B28">
        <v>400</v>
      </c>
      <c r="C28" t="s">
        <v>193</v>
      </c>
    </row>
    <row r="29" spans="1:3" x14ac:dyDescent="0.25">
      <c r="A29" t="s">
        <v>188</v>
      </c>
      <c r="B29">
        <v>200</v>
      </c>
      <c r="C29" t="s">
        <v>193</v>
      </c>
    </row>
    <row r="32" spans="1:3" x14ac:dyDescent="0.25">
      <c r="A32" t="s">
        <v>194</v>
      </c>
      <c r="B32">
        <v>859365</v>
      </c>
      <c r="C32" t="s">
        <v>180</v>
      </c>
    </row>
    <row r="33" spans="1:3" x14ac:dyDescent="0.25">
      <c r="A33" t="s">
        <v>195</v>
      </c>
      <c r="B33">
        <v>0</v>
      </c>
    </row>
    <row r="34" spans="1:3" x14ac:dyDescent="0.25">
      <c r="A34" t="s">
        <v>196</v>
      </c>
      <c r="B34">
        <v>859365</v>
      </c>
    </row>
    <row r="36" spans="1:3" x14ac:dyDescent="0.25">
      <c r="A36" t="s">
        <v>146</v>
      </c>
      <c r="B36">
        <v>0.66</v>
      </c>
      <c r="C36" t="s">
        <v>181</v>
      </c>
    </row>
    <row r="37" spans="1:3" x14ac:dyDescent="0.25">
      <c r="A37" t="s">
        <v>147</v>
      </c>
      <c r="B37">
        <v>0.22</v>
      </c>
      <c r="C37" t="s">
        <v>181</v>
      </c>
    </row>
    <row r="38" spans="1:3" x14ac:dyDescent="0.25">
      <c r="A38" t="s">
        <v>148</v>
      </c>
      <c r="B38">
        <v>0.12</v>
      </c>
      <c r="C38" t="s">
        <v>181</v>
      </c>
    </row>
    <row r="40" spans="1:3" x14ac:dyDescent="0.25">
      <c r="A40" t="s">
        <v>197</v>
      </c>
      <c r="B40">
        <v>567180.9</v>
      </c>
      <c r="C40" t="s">
        <v>204</v>
      </c>
    </row>
    <row r="41" spans="1:3" x14ac:dyDescent="0.25">
      <c r="A41" t="s">
        <v>198</v>
      </c>
      <c r="B41">
        <v>0</v>
      </c>
      <c r="C41" t="s">
        <v>165</v>
      </c>
    </row>
    <row r="42" spans="1:3" x14ac:dyDescent="0.25">
      <c r="A42" t="s">
        <v>199</v>
      </c>
      <c r="B42">
        <v>567180.9</v>
      </c>
      <c r="C42" t="s">
        <v>165</v>
      </c>
    </row>
    <row r="44" spans="1:3" x14ac:dyDescent="0.25">
      <c r="A44" t="s">
        <v>160</v>
      </c>
      <c r="B44">
        <v>189060.3</v>
      </c>
      <c r="C44" t="s">
        <v>204</v>
      </c>
    </row>
    <row r="45" spans="1:3" x14ac:dyDescent="0.25">
      <c r="A45" t="s">
        <v>200</v>
      </c>
      <c r="B45">
        <v>0</v>
      </c>
      <c r="C45" t="s">
        <v>165</v>
      </c>
    </row>
    <row r="46" spans="1:3" x14ac:dyDescent="0.25">
      <c r="A46" t="s">
        <v>201</v>
      </c>
      <c r="B46">
        <v>189060.3</v>
      </c>
      <c r="C46" t="s">
        <v>165</v>
      </c>
    </row>
    <row r="48" spans="1:3" x14ac:dyDescent="0.25">
      <c r="A48" t="s">
        <v>161</v>
      </c>
      <c r="B48">
        <v>103123.8</v>
      </c>
      <c r="C48" t="s">
        <v>204</v>
      </c>
    </row>
    <row r="49" spans="1:3" x14ac:dyDescent="0.25">
      <c r="A49" t="s">
        <v>202</v>
      </c>
      <c r="B49">
        <v>0</v>
      </c>
      <c r="C49" t="s">
        <v>165</v>
      </c>
    </row>
    <row r="50" spans="1:3" x14ac:dyDescent="0.25">
      <c r="A50" t="s">
        <v>203</v>
      </c>
      <c r="B50">
        <v>103123.8</v>
      </c>
      <c r="C50" t="s">
        <v>165</v>
      </c>
    </row>
    <row r="51" spans="1:3" x14ac:dyDescent="0.25">
      <c r="B51" t="s">
        <v>264</v>
      </c>
      <c r="C51" t="s">
        <v>265</v>
      </c>
    </row>
    <row r="52" spans="1:3" x14ac:dyDescent="0.25">
      <c r="A52" t="s">
        <v>149</v>
      </c>
      <c r="B52">
        <v>0.35310000000000002</v>
      </c>
      <c r="C52">
        <v>0.43889999999999996</v>
      </c>
    </row>
    <row r="53" spans="1:3" x14ac:dyDescent="0.25">
      <c r="A53" t="s">
        <v>150</v>
      </c>
      <c r="B53">
        <v>0.22</v>
      </c>
      <c r="C53">
        <v>0.22</v>
      </c>
    </row>
    <row r="54" spans="1:3" x14ac:dyDescent="0.25">
      <c r="A54" t="s">
        <v>151</v>
      </c>
      <c r="B54">
        <v>0.12</v>
      </c>
      <c r="C54">
        <v>0.12</v>
      </c>
    </row>
    <row r="55" spans="1:3" x14ac:dyDescent="0.25">
      <c r="A55" t="s">
        <v>152</v>
      </c>
      <c r="B55">
        <v>0.1716</v>
      </c>
      <c r="C55">
        <v>8.5800000000000001E-2</v>
      </c>
    </row>
    <row r="56" spans="1:3" x14ac:dyDescent="0.25">
      <c r="A56" t="s">
        <v>153</v>
      </c>
      <c r="B56">
        <v>3.3000000000000002E-2</v>
      </c>
      <c r="C56">
        <v>3.3000000000000002E-2</v>
      </c>
    </row>
    <row r="57" spans="1:3" x14ac:dyDescent="0.25">
      <c r="A57" t="s">
        <v>154</v>
      </c>
      <c r="B57">
        <v>3.9600000000000003E-2</v>
      </c>
      <c r="C57">
        <v>3.9600000000000003E-2</v>
      </c>
    </row>
    <row r="58" spans="1:3" x14ac:dyDescent="0.25">
      <c r="A58" t="s">
        <v>155</v>
      </c>
      <c r="B58">
        <v>2.9700000000000001E-2</v>
      </c>
      <c r="C58">
        <v>2.9700000000000001E-2</v>
      </c>
    </row>
    <row r="59" spans="1:3" x14ac:dyDescent="0.25">
      <c r="A59" t="s">
        <v>156</v>
      </c>
      <c r="B59">
        <v>2.3100000000000002E-2</v>
      </c>
      <c r="C59">
        <v>2.3100000000000002E-2</v>
      </c>
    </row>
    <row r="60" spans="1:3" x14ac:dyDescent="0.25">
      <c r="A60" t="s">
        <v>157</v>
      </c>
      <c r="B60">
        <v>9.9000000000000008E-3</v>
      </c>
      <c r="C60">
        <v>9.9000000000000008E-3</v>
      </c>
    </row>
    <row r="62" spans="1:3" x14ac:dyDescent="0.25">
      <c r="A62" t="s">
        <v>89</v>
      </c>
      <c r="B62">
        <v>377175.29849999998</v>
      </c>
      <c r="C62" t="s">
        <v>183</v>
      </c>
    </row>
    <row r="63" spans="1:3" x14ac:dyDescent="0.25">
      <c r="A63" t="s">
        <v>163</v>
      </c>
      <c r="B63">
        <v>0</v>
      </c>
      <c r="C63" t="s">
        <v>209</v>
      </c>
    </row>
    <row r="64" spans="1:3" x14ac:dyDescent="0.25">
      <c r="A64" t="s">
        <v>164</v>
      </c>
      <c r="B64">
        <v>377175.29849999998</v>
      </c>
      <c r="C64" t="s">
        <v>209</v>
      </c>
    </row>
    <row r="66" spans="1:3" x14ac:dyDescent="0.25">
      <c r="A66" t="s">
        <v>158</v>
      </c>
      <c r="B66">
        <v>189060.3</v>
      </c>
      <c r="C66" t="s">
        <v>183</v>
      </c>
    </row>
    <row r="67" spans="1:3" x14ac:dyDescent="0.25">
      <c r="A67" t="s">
        <v>163</v>
      </c>
      <c r="B67">
        <v>0</v>
      </c>
      <c r="C67" t="s">
        <v>209</v>
      </c>
    </row>
    <row r="68" spans="1:3" x14ac:dyDescent="0.25">
      <c r="A68" t="s">
        <v>164</v>
      </c>
      <c r="B68">
        <v>189060.3</v>
      </c>
      <c r="C68" t="s">
        <v>209</v>
      </c>
    </row>
    <row r="70" spans="1:3" x14ac:dyDescent="0.25">
      <c r="A70" t="s">
        <v>159</v>
      </c>
      <c r="B70">
        <v>103123.8</v>
      </c>
      <c r="C70" t="s">
        <v>183</v>
      </c>
    </row>
    <row r="71" spans="1:3" x14ac:dyDescent="0.25">
      <c r="A71" t="s">
        <v>163</v>
      </c>
      <c r="B71">
        <v>0</v>
      </c>
      <c r="C71" t="s">
        <v>209</v>
      </c>
    </row>
    <row r="72" spans="1:3" x14ac:dyDescent="0.25">
      <c r="A72" t="s">
        <v>164</v>
      </c>
      <c r="B72">
        <v>103123.8</v>
      </c>
      <c r="C72" t="s">
        <v>209</v>
      </c>
    </row>
    <row r="74" spans="1:3" x14ac:dyDescent="0.25">
      <c r="A74" t="s">
        <v>90</v>
      </c>
      <c r="B74">
        <v>73733.517000000007</v>
      </c>
      <c r="C74" t="s">
        <v>183</v>
      </c>
    </row>
    <row r="75" spans="1:3" x14ac:dyDescent="0.25">
      <c r="A75" t="s">
        <v>163</v>
      </c>
      <c r="B75">
        <v>0</v>
      </c>
      <c r="C75" t="s">
        <v>209</v>
      </c>
    </row>
    <row r="76" spans="1:3" x14ac:dyDescent="0.25">
      <c r="A76" t="s">
        <v>164</v>
      </c>
      <c r="B76">
        <v>73733.517000000007</v>
      </c>
      <c r="C76" t="s">
        <v>209</v>
      </c>
    </row>
    <row r="78" spans="1:3" x14ac:dyDescent="0.25">
      <c r="A78" t="s">
        <v>91</v>
      </c>
      <c r="B78">
        <v>28359.045000000002</v>
      </c>
      <c r="C78" t="s">
        <v>183</v>
      </c>
    </row>
    <row r="79" spans="1:3" x14ac:dyDescent="0.25">
      <c r="A79" t="s">
        <v>163</v>
      </c>
      <c r="B79">
        <v>0</v>
      </c>
      <c r="C79" t="s">
        <v>209</v>
      </c>
    </row>
    <row r="80" spans="1:3" x14ac:dyDescent="0.25">
      <c r="A80" t="s">
        <v>164</v>
      </c>
      <c r="B80">
        <v>28359.045000000002</v>
      </c>
      <c r="C80" t="s">
        <v>209</v>
      </c>
    </row>
    <row r="82" spans="1:3" x14ac:dyDescent="0.25">
      <c r="A82" t="s">
        <v>92</v>
      </c>
      <c r="B82">
        <v>34030.853999999999</v>
      </c>
      <c r="C82" t="s">
        <v>183</v>
      </c>
    </row>
    <row r="83" spans="1:3" x14ac:dyDescent="0.25">
      <c r="A83" t="s">
        <v>163</v>
      </c>
      <c r="B83">
        <v>0</v>
      </c>
      <c r="C83" t="s">
        <v>209</v>
      </c>
    </row>
    <row r="84" spans="1:3" x14ac:dyDescent="0.25">
      <c r="A84" t="s">
        <v>164</v>
      </c>
      <c r="B84">
        <v>34030.853999999999</v>
      </c>
      <c r="C84" t="s">
        <v>209</v>
      </c>
    </row>
    <row r="86" spans="1:3" x14ac:dyDescent="0.25">
      <c r="A86" t="s">
        <v>93</v>
      </c>
      <c r="B86">
        <v>25523.140500000001</v>
      </c>
      <c r="C86" t="s">
        <v>183</v>
      </c>
    </row>
    <row r="87" spans="1:3" x14ac:dyDescent="0.25">
      <c r="A87" t="s">
        <v>163</v>
      </c>
      <c r="B87">
        <v>0</v>
      </c>
      <c r="C87" t="s">
        <v>209</v>
      </c>
    </row>
    <row r="88" spans="1:3" x14ac:dyDescent="0.25">
      <c r="A88" t="s">
        <v>164</v>
      </c>
      <c r="B88">
        <v>25523.140500000001</v>
      </c>
      <c r="C88" t="s">
        <v>209</v>
      </c>
    </row>
    <row r="90" spans="1:3" x14ac:dyDescent="0.25">
      <c r="A90" t="s">
        <v>94</v>
      </c>
      <c r="B90">
        <v>19851.331500000004</v>
      </c>
      <c r="C90" t="s">
        <v>183</v>
      </c>
    </row>
    <row r="91" spans="1:3" x14ac:dyDescent="0.25">
      <c r="A91" t="s">
        <v>163</v>
      </c>
      <c r="B91">
        <v>0</v>
      </c>
      <c r="C91" t="s">
        <v>209</v>
      </c>
    </row>
    <row r="92" spans="1:3" x14ac:dyDescent="0.25">
      <c r="A92" t="s">
        <v>164</v>
      </c>
      <c r="B92">
        <v>19851.331500000004</v>
      </c>
      <c r="C92" t="s">
        <v>209</v>
      </c>
    </row>
    <row r="94" spans="1:3" x14ac:dyDescent="0.25">
      <c r="A94" t="s">
        <v>162</v>
      </c>
      <c r="B94">
        <v>8507.7134999999998</v>
      </c>
      <c r="C94" t="s">
        <v>183</v>
      </c>
    </row>
    <row r="95" spans="1:3" x14ac:dyDescent="0.25">
      <c r="A95" t="s">
        <v>163</v>
      </c>
      <c r="B95">
        <v>0</v>
      </c>
      <c r="C95" t="s">
        <v>209</v>
      </c>
    </row>
    <row r="96" spans="1:3" x14ac:dyDescent="0.25">
      <c r="A96" t="s">
        <v>164</v>
      </c>
      <c r="B96">
        <v>8507.7134999999998</v>
      </c>
      <c r="C96" t="s">
        <v>209</v>
      </c>
    </row>
    <row r="98" spans="1:8" x14ac:dyDescent="0.25">
      <c r="A98" t="s">
        <v>184</v>
      </c>
      <c r="B98">
        <v>859365</v>
      </c>
    </row>
    <row r="99" spans="1:8" x14ac:dyDescent="0.25">
      <c r="A99" t="s">
        <v>163</v>
      </c>
      <c r="B99">
        <v>0</v>
      </c>
      <c r="C99" t="s">
        <v>165</v>
      </c>
    </row>
    <row r="100" spans="1:8" x14ac:dyDescent="0.25">
      <c r="A100" t="s">
        <v>164</v>
      </c>
      <c r="B100">
        <v>859365</v>
      </c>
      <c r="C100" t="s">
        <v>165</v>
      </c>
    </row>
    <row r="103" spans="1:8" x14ac:dyDescent="0.25">
      <c r="A103" t="s">
        <v>213</v>
      </c>
      <c r="B103">
        <v>1.3</v>
      </c>
      <c r="C103" t="s">
        <v>208</v>
      </c>
    </row>
    <row r="104" spans="1:8" x14ac:dyDescent="0.25">
      <c r="A104" t="s">
        <v>218</v>
      </c>
      <c r="B104">
        <v>0.15</v>
      </c>
    </row>
    <row r="105" spans="1:8" x14ac:dyDescent="0.25">
      <c r="A105" t="s">
        <v>104</v>
      </c>
      <c r="B105">
        <v>1</v>
      </c>
    </row>
    <row r="109" spans="1:8" x14ac:dyDescent="0.25">
      <c r="A109" t="s">
        <v>216</v>
      </c>
      <c r="B109">
        <v>8507.7134999999998</v>
      </c>
    </row>
    <row r="110" spans="1:8" x14ac:dyDescent="0.25">
      <c r="A110" t="s">
        <v>9</v>
      </c>
      <c r="B110" t="s">
        <v>212</v>
      </c>
      <c r="C110" t="s">
        <v>138</v>
      </c>
      <c r="D110" t="s">
        <v>113</v>
      </c>
      <c r="E110" t="s">
        <v>251</v>
      </c>
      <c r="F110" t="s">
        <v>219</v>
      </c>
      <c r="G110" t="s">
        <v>217</v>
      </c>
      <c r="H110" t="s">
        <v>115</v>
      </c>
    </row>
    <row r="111" spans="1:8" x14ac:dyDescent="0.25">
      <c r="A111" t="s">
        <v>210</v>
      </c>
      <c r="C111">
        <v>1.1701609532775943</v>
      </c>
      <c r="D111">
        <v>5156.8993210943581</v>
      </c>
      <c r="E111">
        <v>5156.8993210943581</v>
      </c>
      <c r="F111">
        <v>31.444508055453404</v>
      </c>
      <c r="G111">
        <v>0</v>
      </c>
      <c r="H111">
        <v>0</v>
      </c>
    </row>
    <row r="112" spans="1:8" x14ac:dyDescent="0.25">
      <c r="A112" t="s">
        <v>211</v>
      </c>
      <c r="C112">
        <v>0.20094965302291257</v>
      </c>
      <c r="D112">
        <v>2101.3636381634146</v>
      </c>
      <c r="E112">
        <v>2101.3636381634146</v>
      </c>
      <c r="F112">
        <v>12.813192915630577</v>
      </c>
      <c r="G112">
        <v>0</v>
      </c>
      <c r="H112">
        <v>0</v>
      </c>
    </row>
    <row r="113" spans="1:8" x14ac:dyDescent="0.25">
      <c r="A113" t="s">
        <v>114</v>
      </c>
      <c r="B113">
        <v>0.17802563074934105</v>
      </c>
      <c r="C113">
        <v>15.236412620497726</v>
      </c>
      <c r="D113">
        <v>67146.870418533479</v>
      </c>
      <c r="E113">
        <v>67146.870418533479</v>
      </c>
      <c r="F113">
        <v>409.43213669837485</v>
      </c>
      <c r="G113">
        <v>0</v>
      </c>
      <c r="H113">
        <v>0</v>
      </c>
    </row>
    <row r="114" spans="1:8" x14ac:dyDescent="0.25">
      <c r="A114" t="s">
        <v>137</v>
      </c>
      <c r="B114">
        <v>0.2414521933527754</v>
      </c>
      <c r="C114">
        <v>10.358299094834065</v>
      </c>
      <c r="D114">
        <v>45649.024110933722</v>
      </c>
      <c r="E114">
        <v>45649.024110933722</v>
      </c>
      <c r="F114">
        <v>278.34770799349832</v>
      </c>
      <c r="G114">
        <v>0</v>
      </c>
      <c r="H114">
        <v>0</v>
      </c>
    </row>
    <row r="115" spans="1:8" x14ac:dyDescent="0.25">
      <c r="A115" t="s">
        <v>10</v>
      </c>
      <c r="B115">
        <v>0.20934810070097853</v>
      </c>
      <c r="C115">
        <v>4.8987455564028979</v>
      </c>
      <c r="D115">
        <v>21588.771667067569</v>
      </c>
      <c r="E115">
        <v>21588.771667067569</v>
      </c>
      <c r="F115">
        <v>131.6388516284608</v>
      </c>
      <c r="G115">
        <v>0</v>
      </c>
      <c r="H115">
        <v>0</v>
      </c>
    </row>
    <row r="116" spans="1:8" x14ac:dyDescent="0.25">
      <c r="A116" t="s">
        <v>12</v>
      </c>
      <c r="B116">
        <v>0.17772604768187591</v>
      </c>
      <c r="C116">
        <v>2.9735345037654661</v>
      </c>
      <c r="D116">
        <v>13104.366558094409</v>
      </c>
      <c r="E116">
        <v>13104.366558094409</v>
      </c>
      <c r="F116">
        <v>79.904674134722001</v>
      </c>
      <c r="G116">
        <v>0</v>
      </c>
      <c r="H116">
        <v>0</v>
      </c>
    </row>
    <row r="117" spans="1:8" x14ac:dyDescent="0.25">
      <c r="A117" t="s">
        <v>11</v>
      </c>
      <c r="B117">
        <v>0.25661331598275372</v>
      </c>
      <c r="C117">
        <v>1.6513066883490204</v>
      </c>
      <c r="D117">
        <v>7277.3085755541324</v>
      </c>
      <c r="E117">
        <v>7277.3085755541324</v>
      </c>
      <c r="F117">
        <v>44.373832777769103</v>
      </c>
      <c r="G117">
        <v>0</v>
      </c>
      <c r="H117">
        <v>0</v>
      </c>
    </row>
    <row r="118" spans="1:8" x14ac:dyDescent="0.25">
      <c r="A118" t="s">
        <v>13</v>
      </c>
      <c r="B118">
        <v>0.23690981163399683</v>
      </c>
      <c r="C118">
        <v>1.8294175654377236</v>
      </c>
      <c r="D118">
        <v>8062.2432108840476</v>
      </c>
      <c r="E118">
        <v>0</v>
      </c>
      <c r="F118">
        <v>0</v>
      </c>
      <c r="G118">
        <v>1209.336481632607</v>
      </c>
      <c r="H118">
        <v>8062.2432108840476</v>
      </c>
    </row>
    <row r="119" spans="1:8" x14ac:dyDescent="0.25">
      <c r="A119" t="s">
        <v>14</v>
      </c>
      <c r="B119">
        <v>0.26928922514776915</v>
      </c>
      <c r="C119">
        <v>1.5595885474433051</v>
      </c>
      <c r="D119">
        <v>6873.1067285826457</v>
      </c>
      <c r="E119">
        <v>0</v>
      </c>
      <c r="F119">
        <v>0</v>
      </c>
      <c r="G119">
        <v>1030.9660092873969</v>
      </c>
      <c r="H119">
        <v>6873.1067285826457</v>
      </c>
    </row>
    <row r="120" spans="1:8" x14ac:dyDescent="0.25">
      <c r="A120" t="s">
        <v>15</v>
      </c>
      <c r="B120">
        <v>0.30389090318710987</v>
      </c>
      <c r="C120">
        <v>1.3688765734063366</v>
      </c>
      <c r="D120">
        <v>6032.6390590017254</v>
      </c>
      <c r="E120">
        <v>6032.6390590017254</v>
      </c>
      <c r="F120">
        <v>36.784384506108083</v>
      </c>
      <c r="G120">
        <v>0</v>
      </c>
      <c r="H120">
        <v>0</v>
      </c>
    </row>
    <row r="121" spans="1:8" x14ac:dyDescent="0.25">
      <c r="A121" t="s">
        <v>207</v>
      </c>
      <c r="B121">
        <v>0.48268310670613607</v>
      </c>
      <c r="C121">
        <v>0.93181973749619562</v>
      </c>
      <c r="D121">
        <v>4106.5295831457343</v>
      </c>
      <c r="E121">
        <v>0</v>
      </c>
      <c r="F121">
        <v>0</v>
      </c>
      <c r="G121">
        <v>615.97943747186014</v>
      </c>
      <c r="H121">
        <v>4106.5295831457343</v>
      </c>
    </row>
    <row r="122" spans="1:8" x14ac:dyDescent="0.25">
      <c r="A122" t="s">
        <v>16</v>
      </c>
      <c r="D122">
        <v>187099.12287105527</v>
      </c>
      <c r="E122">
        <v>168057.24334844283</v>
      </c>
      <c r="F122">
        <v>1024.739288710017</v>
      </c>
      <c r="G122">
        <v>2856.2819283918643</v>
      </c>
      <c r="H122">
        <v>19041.879522612428</v>
      </c>
    </row>
    <row r="124" spans="1:8" x14ac:dyDescent="0.25">
      <c r="A124" t="s">
        <v>222</v>
      </c>
    </row>
    <row r="125" spans="1:8" x14ac:dyDescent="0.25">
      <c r="A125" t="s">
        <v>224</v>
      </c>
      <c r="B125" t="s">
        <v>220</v>
      </c>
      <c r="C125" t="s">
        <v>221</v>
      </c>
      <c r="D125" t="s">
        <v>99</v>
      </c>
      <c r="E125" t="s">
        <v>100</v>
      </c>
      <c r="F125" t="s">
        <v>101</v>
      </c>
      <c r="G125" t="s">
        <v>105</v>
      </c>
    </row>
    <row r="126" spans="1:8" x14ac:dyDescent="0.25">
      <c r="A126" t="s">
        <v>223</v>
      </c>
      <c r="B126">
        <v>26</v>
      </c>
      <c r="C126">
        <v>26</v>
      </c>
      <c r="D126">
        <v>26</v>
      </c>
      <c r="E126">
        <v>26</v>
      </c>
      <c r="F126">
        <v>26</v>
      </c>
    </row>
    <row r="127" spans="1:8" x14ac:dyDescent="0.25">
      <c r="A127" t="s">
        <v>111</v>
      </c>
      <c r="B127">
        <v>74318.149999999994</v>
      </c>
      <c r="C127">
        <v>74318.149999999994</v>
      </c>
      <c r="D127">
        <v>74318.149999999994</v>
      </c>
      <c r="E127">
        <v>74318.149999999994</v>
      </c>
      <c r="F127">
        <v>74318.149999999994</v>
      </c>
      <c r="G127">
        <v>371590.75</v>
      </c>
    </row>
    <row r="128" spans="1:8" x14ac:dyDescent="0.25">
      <c r="A128" t="s">
        <v>112</v>
      </c>
      <c r="B128">
        <v>80707.136731682025</v>
      </c>
      <c r="C128">
        <v>80707.136731682025</v>
      </c>
      <c r="D128">
        <v>93356.754012697842</v>
      </c>
      <c r="E128">
        <v>93356.754012697842</v>
      </c>
      <c r="F128">
        <v>175579.26633930075</v>
      </c>
      <c r="G128">
        <v>523707.04782806046</v>
      </c>
    </row>
    <row r="129" spans="1:7" x14ac:dyDescent="0.25">
      <c r="A129" t="s">
        <v>112</v>
      </c>
      <c r="B129">
        <v>155025.28673168202</v>
      </c>
      <c r="C129">
        <v>155025.28673168202</v>
      </c>
      <c r="D129">
        <v>167674.90401269784</v>
      </c>
      <c r="E129">
        <v>167674.90401269784</v>
      </c>
      <c r="F129">
        <v>249897.41633930075</v>
      </c>
      <c r="G129">
        <v>895297.79782806046</v>
      </c>
    </row>
    <row r="130" spans="1:7" x14ac:dyDescent="0.25">
      <c r="A130" t="s">
        <v>103</v>
      </c>
    </row>
    <row r="131" spans="1:7" x14ac:dyDescent="0.25">
      <c r="A131" t="s">
        <v>224</v>
      </c>
      <c r="B131" t="s">
        <v>220</v>
      </c>
      <c r="C131" t="s">
        <v>221</v>
      </c>
      <c r="D131" t="s">
        <v>99</v>
      </c>
      <c r="E131" t="s">
        <v>100</v>
      </c>
      <c r="F131" t="s">
        <v>101</v>
      </c>
      <c r="G131" t="s">
        <v>105</v>
      </c>
    </row>
    <row r="132" spans="1:7" x14ac:dyDescent="0.25">
      <c r="A132" t="s">
        <v>107</v>
      </c>
      <c r="B132">
        <v>35.729879807692306</v>
      </c>
      <c r="C132">
        <v>35.729879807692306</v>
      </c>
      <c r="D132">
        <v>35.729879807692306</v>
      </c>
      <c r="E132">
        <v>35.729879807692306</v>
      </c>
      <c r="F132">
        <v>35.729879807692306</v>
      </c>
      <c r="G132">
        <v>35.729879807692306</v>
      </c>
    </row>
    <row r="133" spans="1:7" x14ac:dyDescent="0.25">
      <c r="A133" t="s">
        <v>108</v>
      </c>
      <c r="B133">
        <v>39.407061030430839</v>
      </c>
      <c r="C133">
        <v>39.407061030430839</v>
      </c>
      <c r="D133">
        <v>42.449954110349232</v>
      </c>
      <c r="E133">
        <v>42.449954110349232</v>
      </c>
      <c r="F133">
        <v>66.793098749696412</v>
      </c>
      <c r="G133">
        <v>46.101425806251314</v>
      </c>
    </row>
    <row r="134" spans="1:7" x14ac:dyDescent="0.25">
      <c r="A134" t="s">
        <v>109</v>
      </c>
      <c r="B134">
        <v>75.136940838123138</v>
      </c>
      <c r="C134">
        <v>75.136940838123138</v>
      </c>
      <c r="D134">
        <v>78.179833918041538</v>
      </c>
      <c r="E134">
        <v>78.179833918041538</v>
      </c>
      <c r="F134">
        <v>102.52297855738871</v>
      </c>
      <c r="G134">
        <v>81.831305613943613</v>
      </c>
    </row>
    <row r="135" spans="1:7" x14ac:dyDescent="0.25">
      <c r="A135" t="s">
        <v>110</v>
      </c>
      <c r="B135">
        <v>0.49908706107917911</v>
      </c>
      <c r="C135">
        <v>0.49908706107917911</v>
      </c>
      <c r="D135">
        <v>0.49884721847409269</v>
      </c>
      <c r="E135">
        <v>0.49884721847409269</v>
      </c>
      <c r="F135">
        <v>0.49988790947615264</v>
      </c>
      <c r="G135">
        <v>0.50102862430522188</v>
      </c>
    </row>
    <row r="136" spans="1:7" x14ac:dyDescent="0.25">
      <c r="A136" t="s">
        <v>106</v>
      </c>
      <c r="B136">
        <v>150</v>
      </c>
      <c r="C136">
        <v>150</v>
      </c>
      <c r="D136">
        <v>156</v>
      </c>
      <c r="E136">
        <v>156</v>
      </c>
      <c r="F136">
        <v>205</v>
      </c>
      <c r="G136">
        <v>164</v>
      </c>
    </row>
    <row r="137" spans="1:7" x14ac:dyDescent="0.25">
      <c r="A137" t="s">
        <v>98</v>
      </c>
    </row>
    <row r="139" spans="1:7" x14ac:dyDescent="0.25">
      <c r="A139" t="s">
        <v>237</v>
      </c>
      <c r="B139">
        <v>0.30454538370558248</v>
      </c>
      <c r="C139" t="s">
        <v>239</v>
      </c>
    </row>
    <row r="140" spans="1:7" x14ac:dyDescent="0.25">
      <c r="A140" t="s">
        <v>238</v>
      </c>
      <c r="B140">
        <v>0.26055549494810948</v>
      </c>
      <c r="C140" t="s">
        <v>239</v>
      </c>
    </row>
    <row r="141" spans="1:7" x14ac:dyDescent="0.25">
      <c r="A141" t="s">
        <v>247</v>
      </c>
      <c r="B141">
        <v>0</v>
      </c>
      <c r="C141" t="s">
        <v>239</v>
      </c>
    </row>
    <row r="142" spans="1:7" x14ac:dyDescent="0.25">
      <c r="A142" t="s">
        <v>248</v>
      </c>
      <c r="B142">
        <v>1320.5082761717661</v>
      </c>
      <c r="C142" t="s">
        <v>239</v>
      </c>
    </row>
    <row r="143" spans="1:7" x14ac:dyDescent="0.25">
      <c r="A143" t="s">
        <v>9</v>
      </c>
      <c r="B143" t="s">
        <v>225</v>
      </c>
      <c r="C143" t="s">
        <v>139</v>
      </c>
      <c r="D143" t="s">
        <v>240</v>
      </c>
      <c r="E143" t="s">
        <v>241</v>
      </c>
    </row>
    <row r="144" spans="1:7" x14ac:dyDescent="0.25">
      <c r="A144" t="s">
        <v>210</v>
      </c>
      <c r="B144">
        <v>2.7562391752356762E-2</v>
      </c>
      <c r="C144">
        <v>36.39636642007553</v>
      </c>
      <c r="D144">
        <v>36.39636642007553</v>
      </c>
    </row>
    <row r="145" spans="1:5" x14ac:dyDescent="0.25">
      <c r="A145" t="s">
        <v>211</v>
      </c>
      <c r="B145">
        <v>1.1231285352479336E-2</v>
      </c>
      <c r="C145">
        <v>14.831005259995694</v>
      </c>
      <c r="D145">
        <v>14.831005259995694</v>
      </c>
    </row>
    <row r="146" spans="1:5" x14ac:dyDescent="0.25">
      <c r="A146" t="s">
        <v>114</v>
      </c>
      <c r="B146">
        <v>0.35888394017116626</v>
      </c>
      <c r="C146">
        <v>473.90921318115801</v>
      </c>
      <c r="D146">
        <v>473.90921318115801</v>
      </c>
    </row>
    <row r="147" spans="1:5" x14ac:dyDescent="0.25">
      <c r="A147" t="s">
        <v>137</v>
      </c>
      <c r="B147">
        <v>0.24398310056426109</v>
      </c>
      <c r="C147">
        <v>322.18170354115506</v>
      </c>
      <c r="D147">
        <v>322.18170354115506</v>
      </c>
    </row>
    <row r="148" spans="1:5" x14ac:dyDescent="0.25">
      <c r="A148" t="s">
        <v>10</v>
      </c>
      <c r="B148">
        <v>0.11538681387590519</v>
      </c>
      <c r="C148">
        <v>152.36924268422396</v>
      </c>
      <c r="D148">
        <v>152.36924268422396</v>
      </c>
    </row>
    <row r="149" spans="1:5" x14ac:dyDescent="0.25">
      <c r="A149" t="s">
        <v>12</v>
      </c>
      <c r="B149">
        <v>7.0039700651753772E-2</v>
      </c>
      <c r="C149">
        <v>92.488004371233899</v>
      </c>
      <c r="D149">
        <v>92.488004371233899</v>
      </c>
    </row>
    <row r="150" spans="1:5" x14ac:dyDescent="0.25">
      <c r="A150" t="s">
        <v>11</v>
      </c>
      <c r="B150">
        <v>3.8895471362361753E-2</v>
      </c>
      <c r="C150">
        <v>51.361791839600613</v>
      </c>
      <c r="D150">
        <v>51.361791839600613</v>
      </c>
    </row>
    <row r="151" spans="1:5" x14ac:dyDescent="0.25">
      <c r="A151" t="s">
        <v>13</v>
      </c>
      <c r="B151">
        <v>4.3090758990037455E-2</v>
      </c>
      <c r="C151">
        <v>56.901703872867387</v>
      </c>
      <c r="E151">
        <v>56.901703872867387</v>
      </c>
    </row>
    <row r="152" spans="1:5" x14ac:dyDescent="0.25">
      <c r="A152" t="s">
        <v>14</v>
      </c>
      <c r="B152">
        <v>3.6735109299894708E-2</v>
      </c>
      <c r="C152">
        <v>48.509015856585371</v>
      </c>
      <c r="E152">
        <v>48.509015856585371</v>
      </c>
    </row>
    <row r="153" spans="1:5" x14ac:dyDescent="0.25">
      <c r="A153" t="s">
        <v>15</v>
      </c>
      <c r="B153">
        <v>3.2243010904756043E-2</v>
      </c>
      <c r="C153">
        <v>42.577162748426858</v>
      </c>
      <c r="D153">
        <v>42.577162748426858</v>
      </c>
    </row>
    <row r="154" spans="1:5" x14ac:dyDescent="0.25">
      <c r="A154" t="s">
        <v>207</v>
      </c>
      <c r="B154">
        <v>2.1948417075027482E-2</v>
      </c>
      <c r="C154">
        <v>28.983066396443498</v>
      </c>
      <c r="E154">
        <v>28.983066396443498</v>
      </c>
    </row>
    <row r="155" spans="1:5" x14ac:dyDescent="0.25">
      <c r="A155" t="s">
        <v>16</v>
      </c>
      <c r="B155">
        <v>0.99999999999999978</v>
      </c>
      <c r="C155">
        <v>1320.5082761717658</v>
      </c>
      <c r="D155">
        <v>1186.1144900458696</v>
      </c>
      <c r="E155">
        <v>134.39378612589624</v>
      </c>
    </row>
    <row r="159" spans="1:5" x14ac:dyDescent="0.25">
      <c r="A159" t="s">
        <v>226</v>
      </c>
    </row>
    <row r="160" spans="1:5" x14ac:dyDescent="0.25">
      <c r="A160" t="s">
        <v>102</v>
      </c>
      <c r="B160">
        <v>0.08</v>
      </c>
      <c r="C160">
        <v>94.889159203669564</v>
      </c>
    </row>
    <row r="161" spans="1:7" x14ac:dyDescent="0.25">
      <c r="A161" t="s">
        <v>141</v>
      </c>
      <c r="B161">
        <v>0.08</v>
      </c>
      <c r="C161">
        <v>94.889159203669564</v>
      </c>
    </row>
    <row r="162" spans="1:7" x14ac:dyDescent="0.25">
      <c r="A162" t="s">
        <v>140</v>
      </c>
      <c r="B162">
        <v>0.34</v>
      </c>
      <c r="C162">
        <v>403.27892661559571</v>
      </c>
    </row>
    <row r="163" spans="1:7" x14ac:dyDescent="0.25">
      <c r="A163" t="s">
        <v>142</v>
      </c>
      <c r="B163">
        <v>0.08</v>
      </c>
      <c r="C163">
        <v>94.889159203669564</v>
      </c>
    </row>
    <row r="164" spans="1:7" x14ac:dyDescent="0.25">
      <c r="A164" t="s">
        <v>143</v>
      </c>
      <c r="B164">
        <v>0.34</v>
      </c>
      <c r="C164">
        <v>403.27892661559571</v>
      </c>
    </row>
    <row r="165" spans="1:7" x14ac:dyDescent="0.25">
      <c r="A165" t="s">
        <v>144</v>
      </c>
      <c r="B165">
        <v>0.08</v>
      </c>
      <c r="C165">
        <v>94.889159203669564</v>
      </c>
    </row>
    <row r="166" spans="1:7" x14ac:dyDescent="0.25">
      <c r="A166" t="s">
        <v>145</v>
      </c>
      <c r="B166">
        <v>0.99999999999999989</v>
      </c>
      <c r="C166">
        <v>1186.1144900458696</v>
      </c>
    </row>
    <row r="170" spans="1:7" x14ac:dyDescent="0.25">
      <c r="A170" t="s">
        <v>242</v>
      </c>
      <c r="B170" t="s">
        <v>227</v>
      </c>
      <c r="C170" t="s">
        <v>228</v>
      </c>
      <c r="D170" t="s">
        <v>229</v>
      </c>
      <c r="E170" t="s">
        <v>230</v>
      </c>
      <c r="F170" t="s">
        <v>231</v>
      </c>
      <c r="G170" t="s">
        <v>244</v>
      </c>
    </row>
    <row r="171" spans="1:7" x14ac:dyDescent="0.25">
      <c r="A171" t="s">
        <v>102</v>
      </c>
      <c r="B171">
        <v>0.37</v>
      </c>
      <c r="C171">
        <v>0.37</v>
      </c>
      <c r="D171">
        <v>0.1</v>
      </c>
      <c r="E171">
        <v>0.02</v>
      </c>
      <c r="F171">
        <v>0.14000000000000001</v>
      </c>
      <c r="G171">
        <v>1</v>
      </c>
    </row>
    <row r="172" spans="1:7" x14ac:dyDescent="0.25">
      <c r="A172" t="s">
        <v>141</v>
      </c>
      <c r="B172">
        <v>0</v>
      </c>
      <c r="C172">
        <v>0</v>
      </c>
      <c r="D172">
        <v>0.95</v>
      </c>
      <c r="E172">
        <v>0</v>
      </c>
      <c r="F172">
        <v>0.05</v>
      </c>
      <c r="G172">
        <v>1</v>
      </c>
    </row>
    <row r="173" spans="1:7" x14ac:dyDescent="0.25">
      <c r="A173" t="s">
        <v>140</v>
      </c>
      <c r="B173">
        <v>0.32</v>
      </c>
      <c r="C173">
        <v>0.32</v>
      </c>
      <c r="D173">
        <v>0.32</v>
      </c>
      <c r="E173">
        <v>0.02</v>
      </c>
      <c r="F173">
        <v>0.02</v>
      </c>
      <c r="G173">
        <v>1</v>
      </c>
    </row>
    <row r="174" spans="1:7" x14ac:dyDescent="0.25">
      <c r="A174" t="s">
        <v>142</v>
      </c>
      <c r="B174">
        <v>0.32</v>
      </c>
      <c r="C174">
        <v>0.32</v>
      </c>
      <c r="D174">
        <v>0.32</v>
      </c>
      <c r="E174">
        <v>0.02</v>
      </c>
      <c r="F174">
        <v>0.02</v>
      </c>
      <c r="G174">
        <v>1</v>
      </c>
    </row>
    <row r="175" spans="1:7" x14ac:dyDescent="0.25">
      <c r="A175" t="s">
        <v>143</v>
      </c>
      <c r="B175">
        <v>0.26</v>
      </c>
      <c r="C175">
        <v>0.26</v>
      </c>
      <c r="D175">
        <v>0.1</v>
      </c>
      <c r="E175">
        <v>0.32</v>
      </c>
      <c r="F175">
        <v>0.06</v>
      </c>
      <c r="G175">
        <v>1</v>
      </c>
    </row>
    <row r="176" spans="1:7" x14ac:dyDescent="0.25">
      <c r="A176" t="s">
        <v>144</v>
      </c>
      <c r="B176">
        <v>0.26</v>
      </c>
      <c r="C176">
        <v>0.26</v>
      </c>
      <c r="D176">
        <v>0.1</v>
      </c>
      <c r="E176">
        <v>0.32</v>
      </c>
      <c r="F176">
        <v>0.06</v>
      </c>
      <c r="G176">
        <v>1</v>
      </c>
    </row>
    <row r="177" spans="1:7" x14ac:dyDescent="0.25">
      <c r="A177" t="s">
        <v>245</v>
      </c>
      <c r="B177">
        <v>0.27320000000000005</v>
      </c>
      <c r="C177">
        <v>0.27320000000000005</v>
      </c>
      <c r="D177">
        <v>0.26040000000000002</v>
      </c>
      <c r="E177">
        <v>0.14440000000000003</v>
      </c>
      <c r="F177">
        <v>4.8800000000000003E-2</v>
      </c>
      <c r="G177">
        <v>1.0000000000000002</v>
      </c>
    </row>
    <row r="178" spans="1:7" x14ac:dyDescent="0.25">
      <c r="A178" t="s">
        <v>243</v>
      </c>
      <c r="B178" t="s">
        <v>232</v>
      </c>
      <c r="C178" t="s">
        <v>233</v>
      </c>
      <c r="D178" t="s">
        <v>234</v>
      </c>
      <c r="E178" t="s">
        <v>235</v>
      </c>
      <c r="F178" t="s">
        <v>236</v>
      </c>
      <c r="G178" t="s">
        <v>145</v>
      </c>
    </row>
    <row r="179" spans="1:7" x14ac:dyDescent="0.25">
      <c r="A179" t="s">
        <v>102</v>
      </c>
      <c r="B179">
        <v>35</v>
      </c>
      <c r="C179">
        <v>35</v>
      </c>
      <c r="D179">
        <v>9</v>
      </c>
      <c r="E179">
        <v>2</v>
      </c>
      <c r="F179">
        <v>13</v>
      </c>
      <c r="G179">
        <v>94</v>
      </c>
    </row>
    <row r="180" spans="1:7" x14ac:dyDescent="0.25">
      <c r="A180" t="s">
        <v>141</v>
      </c>
      <c r="B180">
        <v>0</v>
      </c>
      <c r="C180">
        <v>0</v>
      </c>
      <c r="D180">
        <v>90</v>
      </c>
      <c r="E180">
        <v>0</v>
      </c>
      <c r="F180">
        <v>5</v>
      </c>
      <c r="G180">
        <v>95</v>
      </c>
    </row>
    <row r="181" spans="1:7" x14ac:dyDescent="0.25">
      <c r="A181" t="s">
        <v>140</v>
      </c>
      <c r="B181">
        <v>129</v>
      </c>
      <c r="C181">
        <v>129</v>
      </c>
      <c r="D181">
        <v>129</v>
      </c>
      <c r="E181">
        <v>8</v>
      </c>
      <c r="F181">
        <v>8</v>
      </c>
      <c r="G181">
        <v>403</v>
      </c>
    </row>
    <row r="182" spans="1:7" x14ac:dyDescent="0.25">
      <c r="A182" t="s">
        <v>142</v>
      </c>
      <c r="B182">
        <v>30</v>
      </c>
      <c r="C182">
        <v>30</v>
      </c>
      <c r="D182">
        <v>30</v>
      </c>
      <c r="E182">
        <v>2</v>
      </c>
      <c r="F182">
        <v>2</v>
      </c>
      <c r="G182">
        <v>94</v>
      </c>
    </row>
    <row r="183" spans="1:7" x14ac:dyDescent="0.25">
      <c r="A183" t="s">
        <v>143</v>
      </c>
      <c r="B183">
        <v>105</v>
      </c>
      <c r="C183">
        <v>105</v>
      </c>
      <c r="D183">
        <v>40</v>
      </c>
      <c r="E183">
        <v>129</v>
      </c>
      <c r="F183">
        <v>24</v>
      </c>
      <c r="G183">
        <v>403</v>
      </c>
    </row>
    <row r="184" spans="1:7" x14ac:dyDescent="0.25">
      <c r="A184" t="s">
        <v>144</v>
      </c>
      <c r="B184">
        <v>25</v>
      </c>
      <c r="C184">
        <v>25</v>
      </c>
      <c r="D184">
        <v>9</v>
      </c>
      <c r="E184">
        <v>30</v>
      </c>
      <c r="F184">
        <v>6</v>
      </c>
      <c r="G184">
        <v>95</v>
      </c>
    </row>
    <row r="185" spans="1:7" x14ac:dyDescent="0.25">
      <c r="A185" t="s">
        <v>16</v>
      </c>
      <c r="B185">
        <v>324</v>
      </c>
      <c r="C185">
        <v>324</v>
      </c>
      <c r="D185">
        <v>307</v>
      </c>
      <c r="E185">
        <v>171</v>
      </c>
      <c r="F185">
        <v>58</v>
      </c>
      <c r="G185">
        <v>1184</v>
      </c>
    </row>
    <row r="186" spans="1:7" x14ac:dyDescent="0.25">
      <c r="A186" t="s">
        <v>246</v>
      </c>
      <c r="B186" t="s">
        <v>232</v>
      </c>
      <c r="C186" t="s">
        <v>233</v>
      </c>
      <c r="D186" t="s">
        <v>234</v>
      </c>
      <c r="E186" t="s">
        <v>235</v>
      </c>
      <c r="F186" t="s">
        <v>236</v>
      </c>
      <c r="G186" t="s">
        <v>145</v>
      </c>
    </row>
    <row r="187" spans="1:7" x14ac:dyDescent="0.25">
      <c r="A187" t="s">
        <v>102</v>
      </c>
      <c r="B187">
        <v>3937.5</v>
      </c>
      <c r="C187">
        <v>3937.5</v>
      </c>
      <c r="D187">
        <v>1053</v>
      </c>
      <c r="E187">
        <v>234</v>
      </c>
      <c r="F187">
        <v>1998.75</v>
      </c>
      <c r="G187">
        <v>11160.75</v>
      </c>
    </row>
    <row r="188" spans="1:7" x14ac:dyDescent="0.25">
      <c r="A188" t="s">
        <v>141</v>
      </c>
      <c r="B188">
        <v>0</v>
      </c>
      <c r="C188">
        <v>0</v>
      </c>
      <c r="D188">
        <v>10530</v>
      </c>
      <c r="E188">
        <v>0</v>
      </c>
      <c r="F188">
        <v>768.75</v>
      </c>
      <c r="G188">
        <v>11298.75</v>
      </c>
    </row>
    <row r="189" spans="1:7" x14ac:dyDescent="0.25">
      <c r="A189" t="s">
        <v>140</v>
      </c>
      <c r="B189">
        <v>14512.5</v>
      </c>
      <c r="C189">
        <v>14512.5</v>
      </c>
      <c r="D189">
        <v>15093</v>
      </c>
      <c r="E189">
        <v>936</v>
      </c>
      <c r="F189">
        <v>1230</v>
      </c>
      <c r="G189">
        <v>46284</v>
      </c>
    </row>
    <row r="190" spans="1:7" x14ac:dyDescent="0.25">
      <c r="A190" t="s">
        <v>142</v>
      </c>
      <c r="B190">
        <v>3375</v>
      </c>
      <c r="C190">
        <v>3375</v>
      </c>
      <c r="D190">
        <v>3510</v>
      </c>
      <c r="E190">
        <v>234</v>
      </c>
      <c r="F190">
        <v>307.5</v>
      </c>
      <c r="G190">
        <v>10801.5</v>
      </c>
    </row>
    <row r="191" spans="1:7" x14ac:dyDescent="0.25">
      <c r="A191" t="s">
        <v>143</v>
      </c>
      <c r="B191">
        <v>11812.5</v>
      </c>
      <c r="C191">
        <v>11812.5</v>
      </c>
      <c r="D191">
        <v>4680</v>
      </c>
      <c r="E191">
        <v>15093</v>
      </c>
      <c r="F191">
        <v>3690</v>
      </c>
      <c r="G191">
        <v>47088</v>
      </c>
    </row>
    <row r="192" spans="1:7" x14ac:dyDescent="0.25">
      <c r="A192" t="s">
        <v>144</v>
      </c>
      <c r="B192">
        <v>2812.5</v>
      </c>
      <c r="C192">
        <v>2812.5</v>
      </c>
      <c r="D192">
        <v>1053</v>
      </c>
      <c r="E192">
        <v>3510</v>
      </c>
      <c r="F192">
        <v>922.5</v>
      </c>
      <c r="G192">
        <v>11110.5</v>
      </c>
    </row>
    <row r="193" spans="1:8" x14ac:dyDescent="0.25">
      <c r="A193" t="s">
        <v>16</v>
      </c>
      <c r="B193">
        <v>36450</v>
      </c>
      <c r="C193">
        <v>36450</v>
      </c>
      <c r="D193">
        <v>35919</v>
      </c>
      <c r="E193">
        <v>20007</v>
      </c>
      <c r="F193">
        <v>8917.5</v>
      </c>
      <c r="G193">
        <v>137743.5</v>
      </c>
    </row>
    <row r="197" spans="1:8" x14ac:dyDescent="0.25">
      <c r="A197" t="s">
        <v>249</v>
      </c>
      <c r="B197" t="s">
        <v>256</v>
      </c>
      <c r="C197" t="s">
        <v>252</v>
      </c>
      <c r="D197" t="s">
        <v>253</v>
      </c>
      <c r="E197" t="s">
        <v>113</v>
      </c>
      <c r="F197" t="s">
        <v>262</v>
      </c>
      <c r="G197" t="s">
        <v>263</v>
      </c>
    </row>
    <row r="198" spans="1:8" x14ac:dyDescent="0.25">
      <c r="A198" t="s">
        <v>250</v>
      </c>
      <c r="B198">
        <v>0.19555979513762234</v>
      </c>
      <c r="C198">
        <v>38.134160051836361</v>
      </c>
      <c r="D198">
        <v>1024.739288710017</v>
      </c>
      <c r="E198">
        <v>168057.24334844283</v>
      </c>
      <c r="F198">
        <v>-9.2830016372523819E-2</v>
      </c>
      <c r="G198">
        <v>-15600.756651557167</v>
      </c>
    </row>
    <row r="199" spans="1:8" x14ac:dyDescent="0.25">
      <c r="A199" t="s">
        <v>257</v>
      </c>
      <c r="B199">
        <v>0.21371361412205525</v>
      </c>
      <c r="C199">
        <v>34.143521100576315</v>
      </c>
      <c r="D199">
        <v>1184</v>
      </c>
      <c r="E199">
        <v>183658</v>
      </c>
      <c r="F199">
        <v>8.4944607104276246E-2</v>
      </c>
      <c r="G199">
        <v>15600.756651557167</v>
      </c>
    </row>
    <row r="202" spans="1:8" x14ac:dyDescent="0.25">
      <c r="A202" t="s">
        <v>266</v>
      </c>
      <c r="E202">
        <v>183658</v>
      </c>
    </row>
    <row r="203" spans="1:8" x14ac:dyDescent="0.25">
      <c r="A203" t="s">
        <v>270</v>
      </c>
      <c r="E203">
        <v>-7800.3783257785835</v>
      </c>
      <c r="H203" t="s">
        <v>277</v>
      </c>
    </row>
    <row r="204" spans="1:8" x14ac:dyDescent="0.25">
      <c r="A204" t="s">
        <v>267</v>
      </c>
      <c r="B204">
        <v>0.20463670462983879</v>
      </c>
      <c r="D204">
        <v>1119.8658536585365</v>
      </c>
      <c r="E204">
        <v>175857.62167422142</v>
      </c>
      <c r="G204" t="s">
        <v>210</v>
      </c>
      <c r="H204">
        <v>3796.5403083407537</v>
      </c>
    </row>
    <row r="205" spans="1:8" x14ac:dyDescent="0.25">
      <c r="A205" t="s">
        <v>268</v>
      </c>
      <c r="E205">
        <v>4.2472303552138158E-2</v>
      </c>
      <c r="G205" t="s">
        <v>211</v>
      </c>
      <c r="H205">
        <v>1547.0365539492375</v>
      </c>
    </row>
    <row r="206" spans="1:8" x14ac:dyDescent="0.25">
      <c r="A206" t="s">
        <v>271</v>
      </c>
      <c r="E206">
        <v>0.25</v>
      </c>
      <c r="G206" t="s">
        <v>282</v>
      </c>
      <c r="H206">
        <v>49433.930012967037</v>
      </c>
    </row>
    <row r="207" spans="1:8" x14ac:dyDescent="0.25">
      <c r="A207" t="s">
        <v>272</v>
      </c>
      <c r="E207">
        <v>-0.25</v>
      </c>
      <c r="G207" t="s">
        <v>137</v>
      </c>
      <c r="H207">
        <v>33607.086212573297</v>
      </c>
    </row>
    <row r="208" spans="1:8" x14ac:dyDescent="0.25">
      <c r="A208" t="s">
        <v>266</v>
      </c>
      <c r="E208">
        <v>183658</v>
      </c>
      <c r="G208" t="s">
        <v>10</v>
      </c>
      <c r="H208">
        <v>15893.783597115746</v>
      </c>
    </row>
    <row r="209" spans="1:8" x14ac:dyDescent="0.25">
      <c r="A209" t="s">
        <v>268</v>
      </c>
      <c r="E209">
        <v>-45914.5</v>
      </c>
      <c r="G209" t="s">
        <v>12</v>
      </c>
      <c r="H209">
        <v>9647.5135067248466</v>
      </c>
    </row>
    <row r="210" spans="1:8" x14ac:dyDescent="0.25">
      <c r="A210" t="s">
        <v>269</v>
      </c>
      <c r="B210">
        <v>0.16028521059154144</v>
      </c>
      <c r="C210">
        <v>25.607640825432238</v>
      </c>
      <c r="D210">
        <v>839.89939024390242</v>
      </c>
      <c r="E210">
        <v>137743.5</v>
      </c>
      <c r="G210" t="s">
        <v>11</v>
      </c>
      <c r="H210">
        <v>5357.5983596014757</v>
      </c>
    </row>
    <row r="211" spans="1:8" x14ac:dyDescent="0.25">
      <c r="G211" t="s">
        <v>283</v>
      </c>
      <c r="H211">
        <v>5935.4719609442245</v>
      </c>
    </row>
    <row r="212" spans="1:8" x14ac:dyDescent="0.25">
      <c r="A212" t="s">
        <v>273</v>
      </c>
      <c r="G212" t="s">
        <v>57</v>
      </c>
      <c r="H212">
        <v>5060.0225278500466</v>
      </c>
    </row>
    <row r="213" spans="1:8" x14ac:dyDescent="0.25">
      <c r="A213" t="s">
        <v>102</v>
      </c>
      <c r="B213">
        <v>0.08</v>
      </c>
      <c r="C213">
        <v>67.191951219512191</v>
      </c>
      <c r="G213" t="s">
        <v>15</v>
      </c>
      <c r="H213">
        <v>4441.2651725592641</v>
      </c>
    </row>
    <row r="214" spans="1:8" x14ac:dyDescent="0.25">
      <c r="A214" t="s">
        <v>141</v>
      </c>
      <c r="B214">
        <v>0.08</v>
      </c>
      <c r="C214">
        <v>67.191951219512191</v>
      </c>
      <c r="G214" t="s">
        <v>207</v>
      </c>
      <c r="H214">
        <v>3023.251787374048</v>
      </c>
    </row>
    <row r="215" spans="1:8" x14ac:dyDescent="0.25">
      <c r="A215" t="s">
        <v>140</v>
      </c>
      <c r="B215">
        <v>0.34</v>
      </c>
      <c r="C215">
        <v>285.56579268292683</v>
      </c>
    </row>
    <row r="216" spans="1:8" x14ac:dyDescent="0.25">
      <c r="A216" t="s">
        <v>142</v>
      </c>
      <c r="B216">
        <v>0.08</v>
      </c>
      <c r="C216">
        <v>67.191951219512191</v>
      </c>
    </row>
    <row r="217" spans="1:8" x14ac:dyDescent="0.25">
      <c r="A217" t="s">
        <v>143</v>
      </c>
      <c r="B217">
        <v>0.34</v>
      </c>
      <c r="C217">
        <v>285.56579268292683</v>
      </c>
    </row>
    <row r="218" spans="1:8" x14ac:dyDescent="0.25">
      <c r="A218" t="s">
        <v>144</v>
      </c>
      <c r="B218">
        <v>0.08</v>
      </c>
      <c r="C218">
        <v>67.191951219512191</v>
      </c>
    </row>
    <row r="219" spans="1:8" x14ac:dyDescent="0.25">
      <c r="A219" t="s">
        <v>145</v>
      </c>
      <c r="B219">
        <v>0.99999999999999989</v>
      </c>
      <c r="C219">
        <v>839.89939024390242</v>
      </c>
    </row>
    <row r="221" spans="1:8" x14ac:dyDescent="0.25">
      <c r="A221" t="s">
        <v>274</v>
      </c>
      <c r="B221" t="s">
        <v>232</v>
      </c>
      <c r="C221" t="s">
        <v>233</v>
      </c>
      <c r="D221" t="s">
        <v>234</v>
      </c>
      <c r="E221" t="s">
        <v>235</v>
      </c>
      <c r="F221" t="s">
        <v>236</v>
      </c>
      <c r="G221" t="s">
        <v>145</v>
      </c>
    </row>
    <row r="222" spans="1:8" x14ac:dyDescent="0.25">
      <c r="A222" t="s">
        <v>102</v>
      </c>
      <c r="B222">
        <v>25</v>
      </c>
      <c r="C222">
        <v>25</v>
      </c>
      <c r="D222">
        <v>7</v>
      </c>
      <c r="E222">
        <v>1</v>
      </c>
      <c r="F222">
        <v>9</v>
      </c>
      <c r="G222">
        <v>67</v>
      </c>
    </row>
    <row r="223" spans="1:8" x14ac:dyDescent="0.25">
      <c r="A223" t="s">
        <v>141</v>
      </c>
      <c r="B223">
        <v>0</v>
      </c>
      <c r="C223">
        <v>0</v>
      </c>
      <c r="D223">
        <v>64</v>
      </c>
      <c r="E223">
        <v>0</v>
      </c>
      <c r="F223">
        <v>3</v>
      </c>
      <c r="G223">
        <v>67</v>
      </c>
    </row>
    <row r="224" spans="1:8" x14ac:dyDescent="0.25">
      <c r="A224" t="s">
        <v>140</v>
      </c>
      <c r="B224">
        <v>91</v>
      </c>
      <c r="C224">
        <v>91</v>
      </c>
      <c r="D224">
        <v>91</v>
      </c>
      <c r="E224">
        <v>6</v>
      </c>
      <c r="F224">
        <v>6</v>
      </c>
      <c r="G224">
        <v>285</v>
      </c>
    </row>
    <row r="225" spans="1:7" x14ac:dyDescent="0.25">
      <c r="A225" t="s">
        <v>142</v>
      </c>
      <c r="B225">
        <v>22</v>
      </c>
      <c r="C225">
        <v>22</v>
      </c>
      <c r="D225">
        <v>22</v>
      </c>
      <c r="E225">
        <v>1</v>
      </c>
      <c r="F225">
        <v>1</v>
      </c>
      <c r="G225">
        <v>68</v>
      </c>
    </row>
    <row r="226" spans="1:7" x14ac:dyDescent="0.25">
      <c r="A226" t="s">
        <v>143</v>
      </c>
      <c r="B226">
        <v>74</v>
      </c>
      <c r="C226">
        <v>74</v>
      </c>
      <c r="D226">
        <v>29</v>
      </c>
      <c r="E226">
        <v>91</v>
      </c>
      <c r="F226">
        <v>17</v>
      </c>
      <c r="G226">
        <v>285</v>
      </c>
    </row>
    <row r="227" spans="1:7" x14ac:dyDescent="0.25">
      <c r="A227" t="s">
        <v>144</v>
      </c>
      <c r="B227">
        <v>17</v>
      </c>
      <c r="C227">
        <v>17</v>
      </c>
      <c r="D227">
        <v>7</v>
      </c>
      <c r="E227">
        <v>22</v>
      </c>
      <c r="F227">
        <v>4</v>
      </c>
      <c r="G227">
        <v>67</v>
      </c>
    </row>
    <row r="228" spans="1:7" x14ac:dyDescent="0.25">
      <c r="A228" t="s">
        <v>16</v>
      </c>
      <c r="B228">
        <v>229</v>
      </c>
      <c r="C228">
        <v>229</v>
      </c>
      <c r="D228">
        <v>220</v>
      </c>
      <c r="E228">
        <v>121</v>
      </c>
      <c r="F228">
        <v>40</v>
      </c>
      <c r="G228">
        <v>839</v>
      </c>
    </row>
    <row r="235" spans="1:7" x14ac:dyDescent="0.25">
      <c r="A235" t="s">
        <v>290</v>
      </c>
    </row>
    <row r="236" spans="1:7" x14ac:dyDescent="0.25">
      <c r="A236" t="s">
        <v>284</v>
      </c>
      <c r="C236">
        <v>187099.12287105527</v>
      </c>
    </row>
    <row r="238" spans="1:7" x14ac:dyDescent="0.25">
      <c r="A238" t="s">
        <v>288</v>
      </c>
      <c r="C238">
        <v>183658</v>
      </c>
    </row>
    <row r="239" spans="1:7" x14ac:dyDescent="0.25">
      <c r="A239" t="s">
        <v>289</v>
      </c>
      <c r="C239">
        <v>-45914.5</v>
      </c>
    </row>
    <row r="240" spans="1:7" x14ac:dyDescent="0.25">
      <c r="A240" t="s">
        <v>285</v>
      </c>
      <c r="C240">
        <v>137743.5</v>
      </c>
    </row>
    <row r="242" spans="1:3" x14ac:dyDescent="0.25">
      <c r="A242" t="s">
        <v>287</v>
      </c>
    </row>
    <row r="243" spans="1:3" x14ac:dyDescent="0.25">
      <c r="A243" t="s">
        <v>281</v>
      </c>
      <c r="C243">
        <v>5343.5768622899914</v>
      </c>
    </row>
    <row r="244" spans="1:3" x14ac:dyDescent="0.25">
      <c r="A244" t="s">
        <v>282</v>
      </c>
      <c r="C244">
        <v>49433.930012967037</v>
      </c>
    </row>
    <row r="245" spans="1:3" x14ac:dyDescent="0.25">
      <c r="A245" t="s">
        <v>137</v>
      </c>
      <c r="C245">
        <v>33607.086212573297</v>
      </c>
    </row>
    <row r="246" spans="1:3" x14ac:dyDescent="0.25">
      <c r="A246" t="s">
        <v>10</v>
      </c>
      <c r="C246">
        <v>15893.783597115746</v>
      </c>
    </row>
    <row r="247" spans="1:3" x14ac:dyDescent="0.25">
      <c r="A247" t="s">
        <v>12</v>
      </c>
      <c r="C247">
        <v>9647.5135067248466</v>
      </c>
    </row>
    <row r="248" spans="1:3" x14ac:dyDescent="0.25">
      <c r="A248" t="s">
        <v>11</v>
      </c>
      <c r="C248">
        <v>5357.5983596014757</v>
      </c>
    </row>
    <row r="249" spans="1:3" x14ac:dyDescent="0.25">
      <c r="A249" t="s">
        <v>15</v>
      </c>
      <c r="C249">
        <v>4441.2651725592641</v>
      </c>
    </row>
    <row r="251" spans="1:3" x14ac:dyDescent="0.25">
      <c r="A251" t="s">
        <v>286</v>
      </c>
    </row>
    <row r="252" spans="1:3" x14ac:dyDescent="0.25">
      <c r="A252" t="s">
        <v>281</v>
      </c>
      <c r="C252">
        <v>5343.5768622899914</v>
      </c>
    </row>
    <row r="253" spans="1:3" x14ac:dyDescent="0.25">
      <c r="A253" t="s">
        <v>278</v>
      </c>
      <c r="C253">
        <v>68880.307051852622</v>
      </c>
    </row>
    <row r="254" spans="1:3" x14ac:dyDescent="0.25">
      <c r="A254" t="s">
        <v>279</v>
      </c>
      <c r="C254">
        <v>33607.086212573297</v>
      </c>
    </row>
    <row r="255" spans="1:3" x14ac:dyDescent="0.25">
      <c r="A255" t="s">
        <v>280</v>
      </c>
      <c r="C255">
        <v>15893.783597115746</v>
      </c>
    </row>
    <row r="258" spans="1:3" x14ac:dyDescent="0.25">
      <c r="A258" t="s">
        <v>293</v>
      </c>
      <c r="C258">
        <v>1184</v>
      </c>
    </row>
    <row r="259" spans="1:3" x14ac:dyDescent="0.25">
      <c r="A259" t="s">
        <v>291</v>
      </c>
      <c r="C259">
        <v>42304.17769230769</v>
      </c>
    </row>
    <row r="260" spans="1:3" x14ac:dyDescent="0.25">
      <c r="A260" t="s">
        <v>292</v>
      </c>
      <c r="C260">
        <v>54584.088154601559</v>
      </c>
    </row>
    <row r="261" spans="1:3" x14ac:dyDescent="0.25">
      <c r="A261" t="s">
        <v>294</v>
      </c>
      <c r="C261">
        <v>40855.234153090758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X Q M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A V 0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A x b K I p H u A 4 A A A A R A A A A E w A c A E Z v c m 1 1 b G F z L 1 N l Y 3 R p b 2 4 x L m 0 g o h g A K K A U A A A A A A A A A A A A A A A A A A A A A A A A A A A A K 0 5 N L s n M z 1 M I h t C G 1 g B Q S w E C L Q A U A A I A C A A F d A x b 6 6 s 4 S 6 U A A A D 3 A A A A E g A A A A A A A A A A A A A A A A A A A A A A Q 2 9 u Z m l n L 1 B h Y 2 t h Z 2 U u e G 1 s U E s B A i 0 A F A A C A A g A B X Q M W w / K 6 a u k A A A A 6 Q A A A B M A A A A A A A A A A A A A A A A A 8 Q A A A F t D b 2 5 0 Z W 5 0 X 1 R 5 c G V z X S 5 4 b W x Q S w E C L Q A U A A I A C A A F d A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u k 5 D 9 Z + r 0 u u W u l e J u a P u A A A A A A C A A A A A A A Q Z g A A A A E A A C A A A A C X F d A Q c P Y C g R / d c Q D 0 J 3 I k t 5 w M X n F u B H D r c K J y Y a t X y w A A A A A O g A A A A A I A A C A A A A D K f r j S J T 5 V 5 7 Y L X w u 2 + w T K Z 7 f P M v x O c b e E + 9 J S A 4 U 8 R F A A A A A B 5 h X o k u b c J x c b M h w 1 v 9 V Z 7 M q j I Z l g H K P e s Q V f G 0 z E T M 7 C D X L G M 8 l 5 m 8 o I C e W I 5 + 8 0 r h F w d g 5 J Y 8 g S g p 4 n b i 8 + 0 T + e q u b Y O W o R H o O G L a 0 A B U A A A A C O 3 d K d o I + e Y 0 7 f 1 d Y x o S 0 J Z 3 C h e r p L + 9 A n A D Q + 3 m n + A j G 7 q O l Z 3 X A E k B H f u h 9 / D b J 1 L U J C L f 2 a r L F c 4 J t 9 4 C b 9 < / D a t a M a s h u p > 
</file>

<file path=customXml/itemProps1.xml><?xml version="1.0" encoding="utf-8"?>
<ds:datastoreItem xmlns:ds="http://schemas.openxmlformats.org/officeDocument/2006/customXml" ds:itemID="{62190E0D-1158-477B-8DB2-B444E3C25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Cost_Check</vt:lpstr>
      <vt:lpstr>Final Project Cost Calculator L</vt:lpstr>
      <vt:lpstr>Cost_Ranges</vt:lpstr>
      <vt:lpstr>Engineering_Costs</vt:lpstr>
      <vt:lpstr>New Project Cost Calculator dum</vt:lpstr>
      <vt:lpstr>Sheet4</vt:lpstr>
      <vt:lpstr>Sheet2</vt:lpstr>
      <vt:lpstr>Final Project Cost Calculator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WESLEY LOPEZ, PE. M.Arch. BSCE.</cp:lastModifiedBy>
  <dcterms:created xsi:type="dcterms:W3CDTF">2025-07-31T21:42:54Z</dcterms:created>
  <dcterms:modified xsi:type="dcterms:W3CDTF">2025-08-28T18:00:10Z</dcterms:modified>
</cp:coreProperties>
</file>